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tecnisa365.sharepoint.com/sites/RelaescomInvestidores/Documentos Compartilhados/General/Release/Dados financeiros e operacionais/2025/4T25/"/>
    </mc:Choice>
  </mc:AlternateContent>
  <xr:revisionPtr revIDLastSave="3229" documentId="13_ncr:1_{A5AE0329-78E5-453A-A2BD-807FABC9DFE8}" xr6:coauthVersionLast="47" xr6:coauthVersionMax="47" xr10:uidLastSave="{C3217681-982B-4E90-BFC9-198D3FCE57F3}"/>
  <bookViews>
    <workbookView xWindow="28665" yWindow="-135" windowWidth="29070" windowHeight="15750" tabRatio="758" activeTab="2" xr2:uid="{00000000-000D-0000-FFFF-FFFF00000000}"/>
  </bookViews>
  <sheets>
    <sheet name="Menu" sheetId="8" r:id="rId1"/>
    <sheet name="Dados Financeiros" sheetId="2" r:id="rId2"/>
    <sheet name="Dados Operacionais" sheetId="3" r:id="rId3"/>
    <sheet name="Lançamentos" sheetId="7" r:id="rId4"/>
  </sheets>
  <definedNames>
    <definedName name="__FDS_HYPERLINK_TOGGLE_STATE__" hidden="1">"ON"</definedName>
    <definedName name="_xlnm._FilterDatabase" localSheetId="1" hidden="1">'Dados Financeiros'!$BD$2:$BD$207</definedName>
    <definedName name="_xlnm._FilterDatabase" localSheetId="2" hidden="1">'Dados Operacionais'!$B$3:$AZ$41</definedName>
    <definedName name="_xlnm._FilterDatabase" localSheetId="3" hidden="1">Lançamentos!$A$3:$P$173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40505.724837963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B3" i="3" l="1"/>
  <c r="CB1" i="3"/>
  <c r="CF3" i="2" a="1"/>
  <c r="CF3" i="2" s="1"/>
  <c r="CF1" i="2"/>
  <c r="CA3" i="3" l="1"/>
  <c r="CA1" i="3"/>
  <c r="CE3" i="2" a="1"/>
  <c r="CE3" i="2" s="1"/>
  <c r="CE1" i="2"/>
  <c r="BZ3" i="3"/>
  <c r="BZ1" i="3"/>
  <c r="CD3" i="2" a="1"/>
  <c r="CD3" i="2" s="1"/>
  <c r="CD1" i="2"/>
  <c r="EI3" i="3"/>
  <c r="EH3" i="3"/>
  <c r="EG3" i="3"/>
  <c r="BY3" i="3"/>
  <c r="BY1" i="3"/>
  <c r="EL3" i="2"/>
  <c r="EK3" i="2"/>
  <c r="EJ3" i="2"/>
  <c r="CC3" i="2" a="1"/>
  <c r="CC3" i="2" s="1"/>
  <c r="CC1" i="2"/>
  <c r="EJ59" i="2"/>
  <c r="EL59" i="2"/>
  <c r="EK59" i="2"/>
  <c r="BX1" i="3" l="1"/>
  <c r="BW1" i="3"/>
  <c r="BV1" i="3"/>
  <c r="BU1" i="3"/>
  <c r="BT1" i="3"/>
  <c r="BS1" i="3"/>
  <c r="BR1" i="3"/>
  <c r="BQ1" i="3"/>
  <c r="BP1" i="3"/>
  <c r="BO1" i="3"/>
  <c r="BN1" i="3"/>
  <c r="BM1" i="3"/>
  <c r="BL1" i="3"/>
  <c r="BK1" i="3"/>
  <c r="BJ1" i="3"/>
  <c r="BI1" i="3"/>
  <c r="BH1" i="3"/>
  <c r="BG1" i="3"/>
  <c r="BF1" i="3"/>
  <c r="BE1" i="3"/>
  <c r="BD1" i="3"/>
  <c r="BC1" i="3"/>
  <c r="BB1" i="3"/>
  <c r="BA1" i="3"/>
  <c r="AZ1" i="3"/>
  <c r="AY1" i="3"/>
  <c r="AX1" i="3"/>
  <c r="AW1" i="3"/>
  <c r="AV1" i="3"/>
  <c r="AU1" i="3"/>
  <c r="AT1" i="3"/>
  <c r="AS1" i="3"/>
  <c r="AR1" i="3"/>
  <c r="AQ1" i="3"/>
  <c r="AP1" i="3"/>
  <c r="AO1" i="3"/>
  <c r="AN1" i="3"/>
  <c r="AM1" i="3"/>
  <c r="AL1" i="3"/>
  <c r="AK1" i="3"/>
  <c r="AJ1" i="3"/>
  <c r="AI1" i="3"/>
  <c r="AH1" i="3"/>
  <c r="AG1" i="3"/>
  <c r="AF1" i="3"/>
  <c r="AE1" i="3"/>
  <c r="AD1" i="3"/>
  <c r="AC1" i="3"/>
  <c r="AB1" i="3"/>
  <c r="AA1" i="3"/>
  <c r="Z1" i="3"/>
  <c r="Y1" i="3"/>
  <c r="X1" i="3"/>
  <c r="W1" i="3"/>
  <c r="V1" i="3"/>
  <c r="U1" i="3"/>
  <c r="T1" i="3"/>
  <c r="S1" i="3"/>
  <c r="R1" i="3"/>
  <c r="Q1" i="3"/>
  <c r="P1" i="3"/>
  <c r="O1" i="3"/>
  <c r="N1" i="3"/>
  <c r="M1" i="3"/>
  <c r="L1" i="3"/>
  <c r="K1" i="3"/>
  <c r="J1" i="3"/>
  <c r="I1" i="3"/>
  <c r="H1" i="3"/>
  <c r="G1" i="3"/>
  <c r="F1" i="3"/>
  <c r="BX3" i="3"/>
  <c r="CA93" i="2"/>
  <c r="BZ93" i="2"/>
  <c r="D180" i="2"/>
  <c r="DE35" i="3"/>
  <c r="CW35" i="3"/>
  <c r="EA35" i="3"/>
  <c r="CK32" i="3"/>
  <c r="CJ33" i="3"/>
  <c r="CU32" i="3"/>
  <c r="DY41" i="3"/>
  <c r="DG33" i="3"/>
  <c r="DT34" i="3"/>
  <c r="DW40" i="3"/>
  <c r="EC41" i="3"/>
  <c r="DK40" i="3"/>
  <c r="DD41" i="3"/>
  <c r="DV40" i="3"/>
  <c r="DP35" i="3"/>
  <c r="CV34" i="3"/>
  <c r="CQ41" i="3"/>
  <c r="CS33" i="3"/>
  <c r="CL34" i="3"/>
  <c r="CH41" i="3"/>
  <c r="DU32" i="3"/>
  <c r="CL41" i="3"/>
  <c r="CW33" i="3"/>
  <c r="CR32" i="3"/>
  <c r="EC33" i="3"/>
  <c r="CQ40" i="3"/>
  <c r="CK35" i="3"/>
  <c r="DL32" i="3"/>
  <c r="CM32" i="3"/>
  <c r="DA34" i="3"/>
  <c r="CE33" i="3"/>
  <c r="EA32" i="3"/>
  <c r="DA32" i="3"/>
  <c r="EA41" i="3"/>
  <c r="CF35" i="3"/>
  <c r="CX34" i="3"/>
  <c r="CO33" i="3"/>
  <c r="DN41" i="3"/>
  <c r="DJ41" i="3"/>
  <c r="CH33" i="3"/>
  <c r="CZ35" i="3"/>
  <c r="CY40" i="3"/>
  <c r="CI35" i="3"/>
  <c r="CR35" i="3"/>
  <c r="CQ35" i="3"/>
  <c r="DS40" i="3"/>
  <c r="CF41" i="3"/>
  <c r="DK41" i="3"/>
  <c r="CR34" i="3"/>
  <c r="DN35" i="3"/>
  <c r="CL35" i="3"/>
  <c r="CX32" i="3"/>
  <c r="CS35" i="3"/>
  <c r="CW32" i="3"/>
  <c r="CE32" i="3"/>
  <c r="DC35" i="3"/>
  <c r="CH35" i="3"/>
  <c r="DP41" i="3"/>
  <c r="DT33" i="3"/>
  <c r="DC41" i="3"/>
  <c r="DW34" i="3"/>
  <c r="CI32" i="3"/>
  <c r="DH32" i="3"/>
  <c r="DR41" i="3"/>
  <c r="CZ41" i="3"/>
  <c r="CG32" i="3"/>
  <c r="CH34" i="3"/>
  <c r="DU41" i="3"/>
  <c r="DB32" i="3"/>
  <c r="CY35" i="3"/>
  <c r="CN33" i="3"/>
  <c r="DO40" i="3"/>
  <c r="CM34" i="3"/>
  <c r="DV41" i="3"/>
  <c r="DU34" i="3"/>
  <c r="CY41" i="3"/>
  <c r="DV34" i="3"/>
  <c r="DN40" i="3"/>
  <c r="CO34" i="3"/>
  <c r="EC35" i="3"/>
  <c r="CR33" i="3"/>
  <c r="CK41" i="3"/>
  <c r="CI34" i="3"/>
  <c r="EB32" i="3"/>
  <c r="CE35" i="3"/>
  <c r="DO33" i="3"/>
  <c r="DZ35" i="3"/>
  <c r="DO34" i="3"/>
  <c r="DI32" i="3"/>
  <c r="DA35" i="3"/>
  <c r="DB40" i="3"/>
  <c r="CI40" i="3"/>
  <c r="CO41" i="3"/>
  <c r="DK34" i="3"/>
  <c r="DR33" i="3"/>
  <c r="DE34" i="3"/>
  <c r="CT32" i="3"/>
  <c r="EC40" i="3"/>
  <c r="DM34" i="3"/>
  <c r="DM32" i="3"/>
  <c r="DS33" i="3"/>
  <c r="CN34" i="3"/>
  <c r="DW41" i="3"/>
  <c r="CM33" i="3"/>
  <c r="DV32" i="3"/>
  <c r="CO35" i="3"/>
  <c r="DU40" i="3"/>
  <c r="CY34" i="3"/>
  <c r="DE33" i="3"/>
  <c r="DZ40" i="3"/>
  <c r="DI35" i="3"/>
  <c r="DX34" i="3"/>
  <c r="DX33" i="3"/>
  <c r="DD33" i="3"/>
  <c r="ED41" i="3"/>
  <c r="DX35" i="3"/>
  <c r="DD40" i="3"/>
  <c r="DL40" i="3"/>
  <c r="DJ33" i="3"/>
  <c r="CP35" i="3"/>
  <c r="DK35" i="3"/>
  <c r="DA41" i="3"/>
  <c r="CX40" i="3"/>
  <c r="DQ34" i="3"/>
  <c r="CV35" i="3"/>
  <c r="DZ32" i="3"/>
  <c r="CE34" i="3"/>
  <c r="EB41" i="3"/>
  <c r="DB34" i="3"/>
  <c r="CR41" i="3"/>
  <c r="DV33" i="3"/>
  <c r="ED35" i="3"/>
  <c r="EA40" i="3"/>
  <c r="DP33" i="3"/>
  <c r="CJ32" i="3"/>
  <c r="ED33" i="3"/>
  <c r="CM41" i="3"/>
  <c r="DN32" i="3"/>
  <c r="DZ34" i="3"/>
  <c r="DB33" i="3"/>
  <c r="DP40" i="3"/>
  <c r="DF32" i="3"/>
  <c r="CL40" i="3"/>
  <c r="CP34" i="3"/>
  <c r="EE40" i="3"/>
  <c r="CH32" i="3"/>
  <c r="DD32" i="3"/>
  <c r="DU35" i="3"/>
  <c r="DM35" i="3"/>
  <c r="CM40" i="3"/>
  <c r="DO32" i="3"/>
  <c r="CJ40" i="3"/>
  <c r="DR32" i="3"/>
  <c r="DF35" i="3"/>
  <c r="DY34" i="3"/>
  <c r="CY32" i="3"/>
  <c r="DH35" i="3"/>
  <c r="DY35" i="3"/>
  <c r="DG35" i="3"/>
  <c r="CK34" i="3"/>
  <c r="DC34" i="3"/>
  <c r="CP40" i="3"/>
  <c r="DA40" i="3"/>
  <c r="DI34" i="3"/>
  <c r="DD34" i="3"/>
  <c r="CI33" i="3"/>
  <c r="DG32" i="3"/>
  <c r="DK32" i="3"/>
  <c r="DH34" i="3"/>
  <c r="CS32" i="3"/>
  <c r="CK40" i="3"/>
  <c r="CP33" i="3"/>
  <c r="DS41" i="3"/>
  <c r="DR40" i="3"/>
  <c r="CH40" i="3"/>
  <c r="CX41" i="3"/>
  <c r="CV40" i="3"/>
  <c r="EE35" i="3"/>
  <c r="CS40" i="3"/>
  <c r="DL34" i="3"/>
  <c r="DE41" i="3"/>
  <c r="CE41" i="3"/>
  <c r="DI33" i="3"/>
  <c r="DS34" i="3"/>
  <c r="DE32" i="3"/>
  <c r="EE34" i="3"/>
  <c r="DM41" i="3"/>
  <c r="DM33" i="3"/>
  <c r="DJ35" i="3"/>
  <c r="CG33" i="3"/>
  <c r="CV33" i="3"/>
  <c r="DB35" i="3"/>
  <c r="DS35" i="3"/>
  <c r="DR34" i="3"/>
  <c r="DK33" i="3"/>
  <c r="CF40" i="3"/>
  <c r="CG35" i="3"/>
  <c r="CI41" i="3"/>
  <c r="DD35" i="3"/>
  <c r="CN40" i="3"/>
  <c r="CL33" i="3"/>
  <c r="CY33" i="3"/>
  <c r="DQ41" i="3"/>
  <c r="DL35" i="3"/>
  <c r="CS41" i="3"/>
  <c r="EA33" i="3"/>
  <c r="CF34" i="3"/>
  <c r="CM35" i="3"/>
  <c r="DZ33" i="3"/>
  <c r="DQ32" i="3"/>
  <c r="CJ34" i="3"/>
  <c r="CU41" i="3"/>
  <c r="CP41" i="3"/>
  <c r="CT34" i="3"/>
  <c r="CE40" i="3"/>
  <c r="CX33" i="3"/>
  <c r="DC33" i="3"/>
  <c r="CS34" i="3"/>
  <c r="EB33" i="3"/>
  <c r="CT41" i="3"/>
  <c r="CT40" i="3"/>
  <c r="DJ34" i="3"/>
  <c r="DO35" i="3"/>
  <c r="CP32" i="3"/>
  <c r="CN32" i="3"/>
  <c r="CF33" i="3"/>
  <c r="DF41" i="3"/>
  <c r="CX35" i="3"/>
  <c r="DH40" i="3"/>
  <c r="DX32" i="3"/>
  <c r="DW32" i="3"/>
  <c r="DT35" i="3"/>
  <c r="CZ33" i="3"/>
  <c r="CK33" i="3"/>
  <c r="CT35" i="3"/>
  <c r="EB34" i="3"/>
  <c r="DF40" i="3"/>
  <c r="DO41" i="3"/>
  <c r="DH33" i="3"/>
  <c r="DB41" i="3"/>
  <c r="DR35" i="3"/>
  <c r="EA34" i="3"/>
  <c r="CJ41" i="3"/>
  <c r="DQ35" i="3"/>
  <c r="DS32" i="3"/>
  <c r="DC32" i="3"/>
  <c r="DJ40" i="3"/>
  <c r="CQ33" i="3"/>
  <c r="DA33" i="3"/>
  <c r="DY33" i="3"/>
  <c r="DY32" i="3"/>
  <c r="DN33" i="3"/>
  <c r="DP32" i="3"/>
  <c r="CV41" i="3"/>
  <c r="DQ40" i="3"/>
  <c r="DU33" i="3"/>
  <c r="CW40" i="3"/>
  <c r="EC34" i="3"/>
  <c r="CN35" i="3"/>
  <c r="ED32" i="3"/>
  <c r="DC40" i="3"/>
  <c r="DL33" i="3"/>
  <c r="EB40" i="3"/>
  <c r="DF33" i="3"/>
  <c r="EE41" i="3"/>
  <c r="CT33" i="3"/>
  <c r="DG34" i="3"/>
  <c r="CQ34" i="3"/>
  <c r="DP34" i="3"/>
  <c r="CO32" i="3"/>
  <c r="CU40" i="3"/>
  <c r="DI41" i="3"/>
  <c r="CZ32" i="3"/>
  <c r="CU34" i="3"/>
  <c r="DW35" i="3"/>
  <c r="CV32" i="3"/>
  <c r="DJ32" i="3"/>
  <c r="DQ33" i="3"/>
  <c r="ED34" i="3"/>
  <c r="DZ41" i="3"/>
  <c r="DE40" i="3"/>
  <c r="CW41" i="3"/>
  <c r="DV35" i="3"/>
  <c r="DM40" i="3"/>
  <c r="DG41" i="3"/>
  <c r="DG40" i="3"/>
  <c r="CQ32" i="3"/>
  <c r="ED40" i="3"/>
  <c r="DT32" i="3"/>
  <c r="DX41" i="3"/>
  <c r="CU35" i="3"/>
  <c r="CL32" i="3"/>
  <c r="CG41" i="3"/>
  <c r="DH41" i="3"/>
  <c r="DF34" i="3"/>
  <c r="DT40" i="3"/>
  <c r="CZ40" i="3"/>
  <c r="DN34" i="3"/>
  <c r="CW34" i="3"/>
  <c r="CG40" i="3"/>
  <c r="EE33" i="3"/>
  <c r="CZ34" i="3"/>
  <c r="EE32" i="3"/>
  <c r="CU33" i="3"/>
  <c r="DI40" i="3"/>
  <c r="CO40" i="3"/>
  <c r="EB35" i="3"/>
  <c r="DX40" i="3"/>
  <c r="CF32" i="3"/>
  <c r="CN41" i="3"/>
  <c r="DW33" i="3"/>
  <c r="CG34" i="3"/>
  <c r="CJ35" i="3"/>
  <c r="DL41" i="3"/>
  <c r="DT41" i="3"/>
  <c r="EC32" i="3"/>
  <c r="DY40" i="3"/>
  <c r="CR40" i="3"/>
  <c r="D18" i="2" l="1"/>
  <c r="D17" i="2"/>
  <c r="D11" i="2"/>
  <c r="D12" i="2"/>
  <c r="D14" i="2"/>
  <c r="D15" i="2"/>
  <c r="D16" i="2"/>
  <c r="EL18" i="2"/>
  <c r="EL12" i="2"/>
  <c r="EL15" i="2"/>
  <c r="EL16" i="2"/>
  <c r="EL14" i="2"/>
  <c r="EL11" i="2"/>
  <c r="EL17" i="2"/>
  <c r="CB3" i="2" l="1"/>
  <c r="CB1" i="2"/>
  <c r="BW3" i="3"/>
  <c r="EK15" i="2"/>
  <c r="EK17" i="2"/>
  <c r="EJ18" i="2"/>
  <c r="EJ15" i="2"/>
  <c r="EK14" i="2"/>
  <c r="EJ11" i="2"/>
  <c r="EK12" i="2"/>
  <c r="EI59" i="2"/>
  <c r="EI14" i="2"/>
  <c r="EK11" i="2"/>
  <c r="EJ17" i="2"/>
  <c r="EK18" i="2"/>
  <c r="EJ16" i="2"/>
  <c r="EJ14" i="2"/>
  <c r="EK16" i="2"/>
  <c r="EJ12" i="2"/>
  <c r="EI15" i="2"/>
  <c r="CA184" i="2" l="1"/>
  <c r="CA147" i="2"/>
  <c r="CA169" i="2" s="1"/>
  <c r="CA88" i="2"/>
  <c r="CA91" i="2" s="1"/>
  <c r="CA96" i="2" s="1"/>
  <c r="CA198" i="2"/>
  <c r="CA204" i="2"/>
  <c r="CB203" i="2" s="1"/>
  <c r="CA3" i="2"/>
  <c r="CA1" i="2"/>
  <c r="EI16" i="2"/>
  <c r="EI18" i="2"/>
  <c r="EI12" i="2"/>
  <c r="EI11" i="2"/>
  <c r="EI17" i="2"/>
  <c r="CA9" i="2" l="1"/>
  <c r="CA31" i="2"/>
  <c r="CA70" i="2"/>
  <c r="CA98" i="2"/>
  <c r="CA20" i="2"/>
  <c r="CA40" i="2"/>
  <c r="CA57" i="2"/>
  <c r="CA107" i="2"/>
  <c r="CA200" i="2"/>
  <c r="CA78" i="2"/>
  <c r="CA36" i="2" l="1"/>
  <c r="CA81" i="2"/>
  <c r="P18" i="2" l="1"/>
  <c r="BV3" i="3"/>
  <c r="BZ3" i="2"/>
  <c r="BZ1" i="2"/>
  <c r="BZ198" i="2" l="1"/>
  <c r="BZ184" i="2"/>
  <c r="BZ147" i="2"/>
  <c r="CP17" i="2"/>
  <c r="EC17" i="2"/>
  <c r="EE17" i="2"/>
  <c r="DH17" i="2"/>
  <c r="DR17" i="2"/>
  <c r="DU17" i="2"/>
  <c r="DO17" i="2"/>
  <c r="CU17" i="2"/>
  <c r="EH17" i="2"/>
  <c r="DW17" i="2"/>
  <c r="CS17" i="2"/>
  <c r="CW17" i="2"/>
  <c r="DQ17" i="2"/>
  <c r="DN17" i="2"/>
  <c r="CI17" i="2"/>
  <c r="ED17" i="2"/>
  <c r="DA17" i="2"/>
  <c r="CT17" i="2"/>
  <c r="DY17" i="2"/>
  <c r="CX17" i="2"/>
  <c r="CL17" i="2"/>
  <c r="EG17" i="2"/>
  <c r="DI17" i="2"/>
  <c r="CO17" i="2"/>
  <c r="CM17" i="2"/>
  <c r="EF17" i="2"/>
  <c r="DD17" i="2"/>
  <c r="DM17" i="2"/>
  <c r="DF17" i="2"/>
  <c r="CH17" i="2"/>
  <c r="DC17" i="2"/>
  <c r="CN17" i="2"/>
  <c r="DP17" i="2"/>
  <c r="DG17" i="2"/>
  <c r="CV17" i="2"/>
  <c r="DZ17" i="2"/>
  <c r="CK17" i="2"/>
  <c r="CZ17" i="2"/>
  <c r="DV17" i="2"/>
  <c r="DJ17" i="2"/>
  <c r="CQ17" i="2"/>
  <c r="DE17" i="2"/>
  <c r="DK17" i="2"/>
  <c r="DB17" i="2"/>
  <c r="EB17" i="2"/>
  <c r="DS17" i="2"/>
  <c r="CY17" i="2"/>
  <c r="CJ17" i="2"/>
  <c r="DT17" i="2"/>
  <c r="DL17" i="2"/>
  <c r="DX17" i="2"/>
  <c r="CR17" i="2"/>
  <c r="EA17" i="2"/>
  <c r="BZ169" i="2" l="1"/>
  <c r="BZ200" i="2" s="1"/>
  <c r="BZ88" i="2" l="1"/>
  <c r="BZ57" i="2" l="1"/>
  <c r="BZ91" i="2"/>
  <c r="BZ96" i="2" s="1"/>
  <c r="BZ204" i="2"/>
  <c r="CA203" i="2" s="1"/>
  <c r="CA205" i="2" s="1"/>
  <c r="BZ9" i="2"/>
  <c r="BZ31" i="2"/>
  <c r="BZ98" i="2"/>
  <c r="BZ40" i="2"/>
  <c r="BZ70" i="2"/>
  <c r="BZ20" i="2"/>
  <c r="BZ78" i="2" l="1"/>
  <c r="BZ36" i="2"/>
  <c r="BZ81" i="2" s="1"/>
  <c r="BZ107" i="2" l="1"/>
  <c r="EF3" i="3" l="1"/>
  <c r="EE3" i="3"/>
  <c r="ED3" i="3"/>
  <c r="BU3" i="3"/>
  <c r="EI3" i="2"/>
  <c r="EH3" i="2"/>
  <c r="EG3" i="2"/>
  <c r="BY88" i="2"/>
  <c r="BY91" i="2" s="1"/>
  <c r="BY204" i="2"/>
  <c r="BY31" i="2"/>
  <c r="BY3" i="2"/>
  <c r="BY1" i="2"/>
  <c r="EG71" i="2"/>
  <c r="EH14" i="2"/>
  <c r="EH18" i="2"/>
  <c r="EH72" i="2"/>
  <c r="EG58" i="2"/>
  <c r="EH34" i="2"/>
  <c r="EH51" i="2"/>
  <c r="BY93" i="2" l="1"/>
  <c r="EG64" i="2"/>
  <c r="EG27" i="2"/>
  <c r="EG24" i="2"/>
  <c r="EH32" i="2"/>
  <c r="EH33" i="2"/>
  <c r="EG42" i="2"/>
  <c r="EG43" i="2"/>
  <c r="EH44" i="2"/>
  <c r="EH61" i="2"/>
  <c r="EG50" i="2"/>
  <c r="EH24" i="2"/>
  <c r="EG48" i="2"/>
  <c r="EG51" i="2"/>
  <c r="EH59" i="2"/>
  <c r="EG44" i="2"/>
  <c r="EG11" i="2"/>
  <c r="EG75" i="2"/>
  <c r="EH10" i="2"/>
  <c r="EH74" i="2"/>
  <c r="EG32" i="2"/>
  <c r="EH64" i="2"/>
  <c r="EH58" i="2"/>
  <c r="EG74" i="2"/>
  <c r="EH28" i="2"/>
  <c r="EH66" i="2"/>
  <c r="EH63" i="2"/>
  <c r="EH62" i="2"/>
  <c r="EG16" i="2"/>
  <c r="EH22" i="2"/>
  <c r="EG46" i="2"/>
  <c r="EH11" i="2"/>
  <c r="EG14" i="2"/>
  <c r="EH68" i="2"/>
  <c r="EH55" i="2"/>
  <c r="EG10" i="2"/>
  <c r="EH76" i="2"/>
  <c r="EG54" i="2"/>
  <c r="EG12" i="2"/>
  <c r="EH46" i="2"/>
  <c r="EG55" i="2"/>
  <c r="EH12" i="2"/>
  <c r="EG22" i="2"/>
  <c r="EG76" i="2"/>
  <c r="EH75" i="2"/>
  <c r="EG61" i="2"/>
  <c r="EG60" i="2"/>
  <c r="EG73" i="2"/>
  <c r="EH16" i="2"/>
  <c r="EG25" i="2"/>
  <c r="EH43" i="2"/>
  <c r="EG34" i="2"/>
  <c r="EG28" i="2"/>
  <c r="EG26" i="2"/>
  <c r="EH42" i="2"/>
  <c r="EH26" i="2"/>
  <c r="EG66" i="2"/>
  <c r="EG59" i="2"/>
  <c r="EH50" i="2"/>
  <c r="EG18" i="2"/>
  <c r="EH45" i="2"/>
  <c r="EG65" i="2"/>
  <c r="EG72" i="2"/>
  <c r="EH53" i="2"/>
  <c r="EH73" i="2"/>
  <c r="EG33" i="2"/>
  <c r="EG62" i="2"/>
  <c r="EH71" i="2"/>
  <c r="EH25" i="2"/>
  <c r="EG45" i="2"/>
  <c r="EG15" i="2"/>
  <c r="EG63" i="2"/>
  <c r="EG21" i="2"/>
  <c r="EH29" i="2"/>
  <c r="EG29" i="2"/>
  <c r="EH15" i="2"/>
  <c r="EH60" i="2"/>
  <c r="EH21" i="2"/>
  <c r="EG53" i="2"/>
  <c r="EG52" i="2"/>
  <c r="EH49" i="2"/>
  <c r="EG41" i="2"/>
  <c r="EH65" i="2"/>
  <c r="EG49" i="2"/>
  <c r="EG47" i="2"/>
  <c r="EH54" i="2"/>
  <c r="EH27" i="2"/>
  <c r="EH47" i="2"/>
  <c r="EH48" i="2"/>
  <c r="EH52" i="2"/>
  <c r="BZ203" i="2" l="1"/>
  <c r="BZ205" i="2" s="1"/>
  <c r="EG9" i="2"/>
  <c r="EG20" i="2"/>
  <c r="EG31" i="2"/>
  <c r="EG70" i="2"/>
  <c r="EH9" i="2"/>
  <c r="EH70" i="2"/>
  <c r="EH20" i="2"/>
  <c r="EH31" i="2"/>
  <c r="EG40" i="2"/>
  <c r="EG57" i="2"/>
  <c r="EH57" i="2"/>
  <c r="BY104" i="2"/>
  <c r="BY9" i="2"/>
  <c r="BY98" i="2"/>
  <c r="BY96" i="2"/>
  <c r="BY70" i="2"/>
  <c r="BY40" i="2"/>
  <c r="BY20" i="2"/>
  <c r="BY57" i="2"/>
  <c r="BT3" i="3"/>
  <c r="BW88" i="2"/>
  <c r="BW91" i="2" s="1"/>
  <c r="BV88" i="2"/>
  <c r="BV91" i="2" s="1"/>
  <c r="BU88" i="2"/>
  <c r="BU91" i="2" s="1"/>
  <c r="EG68" i="2"/>
  <c r="EH41" i="2"/>
  <c r="EH40" i="2" l="1"/>
  <c r="BY36" i="2"/>
  <c r="BY78" i="2" l="1"/>
  <c r="BY81" i="2" s="1"/>
  <c r="BY107" i="2"/>
  <c r="EH36" i="2"/>
  <c r="EH78" i="2"/>
  <c r="EG78" i="2"/>
  <c r="EG36" i="2"/>
  <c r="BX93" i="2"/>
  <c r="BX88" i="2"/>
  <c r="BX91" i="2" s="1"/>
  <c r="BX104" i="2"/>
  <c r="BX98" i="2"/>
  <c r="D21" i="2"/>
  <c r="EL21" i="2"/>
  <c r="EI21" i="2"/>
  <c r="EH81" i="2" l="1"/>
  <c r="EG81" i="2"/>
  <c r="BX96" i="2"/>
  <c r="BX107" i="2" s="1"/>
  <c r="BX204" i="2"/>
  <c r="BX70" i="2"/>
  <c r="BX57" i="2"/>
  <c r="BX40" i="2"/>
  <c r="BX31" i="2"/>
  <c r="BX20" i="2"/>
  <c r="BX9" i="2"/>
  <c r="BX3" i="2"/>
  <c r="BX1" i="2"/>
  <c r="BW93" i="2"/>
  <c r="BV93" i="2"/>
  <c r="BT93" i="2"/>
  <c r="BS93" i="2"/>
  <c r="BR93" i="2"/>
  <c r="BQ93" i="2"/>
  <c r="BO93" i="2"/>
  <c r="BN93" i="2"/>
  <c r="BM93" i="2"/>
  <c r="BL93" i="2"/>
  <c r="BK93" i="2"/>
  <c r="BJ93" i="2"/>
  <c r="BI93" i="2"/>
  <c r="BH93" i="2"/>
  <c r="BG93" i="2"/>
  <c r="BF93" i="2"/>
  <c r="BE93" i="2"/>
  <c r="BD93" i="2"/>
  <c r="BC93" i="2"/>
  <c r="BB93" i="2"/>
  <c r="BA93" i="2"/>
  <c r="AZ93" i="2"/>
  <c r="AY93" i="2"/>
  <c r="AX93" i="2"/>
  <c r="AW93" i="2"/>
  <c r="AV93" i="2"/>
  <c r="AU93" i="2"/>
  <c r="AT93" i="2"/>
  <c r="AS93" i="2"/>
  <c r="AR93" i="2"/>
  <c r="AQ93" i="2"/>
  <c r="AP93" i="2"/>
  <c r="AO93" i="2"/>
  <c r="AN93" i="2"/>
  <c r="AM93" i="2"/>
  <c r="AL93" i="2"/>
  <c r="AK93" i="2"/>
  <c r="AI93" i="2"/>
  <c r="AH93" i="2"/>
  <c r="AG93" i="2"/>
  <c r="AF93" i="2"/>
  <c r="AE93" i="2"/>
  <c r="AD93" i="2"/>
  <c r="AC93" i="2"/>
  <c r="AB93" i="2"/>
  <c r="AA93" i="2"/>
  <c r="Z93" i="2"/>
  <c r="Y93" i="2"/>
  <c r="X93" i="2"/>
  <c r="W93" i="2"/>
  <c r="V93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F93" i="2"/>
  <c r="E93" i="2"/>
  <c r="BU93" i="2"/>
  <c r="EJ21" i="2"/>
  <c r="EK21" i="2"/>
  <c r="BY203" i="2" l="1"/>
  <c r="BX78" i="2"/>
  <c r="BX36" i="2"/>
  <c r="BW3" i="2"/>
  <c r="BS3" i="3"/>
  <c r="BS184" i="2"/>
  <c r="EI203" i="2"/>
  <c r="BY205" i="2" l="1"/>
  <c r="BX81" i="2"/>
  <c r="BW204" i="2"/>
  <c r="BW198" i="2"/>
  <c r="BW184" i="2"/>
  <c r="BW70" i="2"/>
  <c r="BW57" i="2"/>
  <c r="BW40" i="2"/>
  <c r="BW31" i="2"/>
  <c r="BW20" i="2"/>
  <c r="BW9" i="2"/>
  <c r="BW1" i="2"/>
  <c r="BR3" i="3"/>
  <c r="BV204" i="2"/>
  <c r="BV198" i="2"/>
  <c r="BV184" i="2"/>
  <c r="BV147" i="2"/>
  <c r="BV70" i="2"/>
  <c r="BV40" i="2"/>
  <c r="BV31" i="2"/>
  <c r="BV20" i="2"/>
  <c r="BV9" i="2"/>
  <c r="EH204" i="2"/>
  <c r="EG204" i="2"/>
  <c r="BW203" i="2" l="1"/>
  <c r="BW205" i="2" s="1"/>
  <c r="BV36" i="2"/>
  <c r="BV200" i="2"/>
  <c r="BX203" i="2"/>
  <c r="BX205" i="2" s="1"/>
  <c r="BW200" i="2"/>
  <c r="BW78" i="2"/>
  <c r="BW36" i="2"/>
  <c r="BV57" i="2"/>
  <c r="BV78" i="2" s="1"/>
  <c r="BV81" i="2" s="1"/>
  <c r="BW81" i="2" l="1"/>
  <c r="BV3" i="2"/>
  <c r="BV1" i="2"/>
  <c r="BQ3" i="3"/>
  <c r="EC3" i="3"/>
  <c r="EB3" i="3"/>
  <c r="EA3" i="3"/>
  <c r="BU125" i="2"/>
  <c r="BU127" i="2"/>
  <c r="BU129" i="2"/>
  <c r="BU147" i="2"/>
  <c r="BU198" i="2"/>
  <c r="BU184" i="2"/>
  <c r="BU204" i="2"/>
  <c r="BV203" i="2" s="1"/>
  <c r="BV205" i="2" s="1"/>
  <c r="BT204" i="2"/>
  <c r="BS204" i="2"/>
  <c r="BR204" i="2"/>
  <c r="BS203" i="2" s="1"/>
  <c r="BQ204" i="2"/>
  <c r="BR203" i="2" s="1"/>
  <c r="BP204" i="2"/>
  <c r="BQ203" i="2" s="1"/>
  <c r="BO204" i="2"/>
  <c r="BP203" i="2" s="1"/>
  <c r="BN204" i="2"/>
  <c r="BO203" i="2" s="1"/>
  <c r="BO205" i="2" s="1"/>
  <c r="BM204" i="2"/>
  <c r="BN203" i="2" s="1"/>
  <c r="BL204" i="2"/>
  <c r="BM203" i="2" s="1"/>
  <c r="BK204" i="2"/>
  <c r="BL203" i="2" s="1"/>
  <c r="BJ204" i="2"/>
  <c r="BK203" i="2" s="1"/>
  <c r="BI204" i="2"/>
  <c r="BJ203" i="2" s="1"/>
  <c r="BS9" i="2"/>
  <c r="BS20" i="2"/>
  <c r="BS31" i="2"/>
  <c r="BS40" i="2"/>
  <c r="BS57" i="2"/>
  <c r="BS70" i="2"/>
  <c r="BU70" i="2"/>
  <c r="BU57" i="2"/>
  <c r="BU40" i="2"/>
  <c r="BU31" i="2"/>
  <c r="BU20" i="2"/>
  <c r="BU9" i="2"/>
  <c r="BS125" i="2"/>
  <c r="BS127" i="2"/>
  <c r="BS129" i="2"/>
  <c r="BS147" i="2"/>
  <c r="BS198" i="2"/>
  <c r="BS3" i="2"/>
  <c r="BS1" i="2"/>
  <c r="BS81" i="2"/>
  <c r="EF3" i="2"/>
  <c r="EE3" i="2"/>
  <c r="ED3" i="2"/>
  <c r="BU3" i="2"/>
  <c r="BU1" i="2"/>
  <c r="D166" i="2"/>
  <c r="D165" i="2"/>
  <c r="BT198" i="2"/>
  <c r="BT184" i="2"/>
  <c r="BT127" i="2"/>
  <c r="BT125" i="2"/>
  <c r="BT147" i="2"/>
  <c r="BT129" i="2"/>
  <c r="BT57" i="2"/>
  <c r="DZ3" i="3"/>
  <c r="BP3" i="3"/>
  <c r="BJ205" i="2" l="1"/>
  <c r="BP205" i="2"/>
  <c r="BS169" i="2"/>
  <c r="BK205" i="2"/>
  <c r="BU36" i="2"/>
  <c r="BM205" i="2"/>
  <c r="BU78" i="2"/>
  <c r="BQ205" i="2"/>
  <c r="BR205" i="2"/>
  <c r="BN205" i="2"/>
  <c r="BS205" i="2"/>
  <c r="BS200" i="2"/>
  <c r="BL205" i="2"/>
  <c r="BU169" i="2"/>
  <c r="BU200" i="2" s="1"/>
  <c r="BT203" i="2"/>
  <c r="BT205" i="2" s="1"/>
  <c r="BU203" i="2"/>
  <c r="BS36" i="2"/>
  <c r="BS78" i="2"/>
  <c r="BT169" i="2"/>
  <c r="BT200" i="2" s="1"/>
  <c r="EC3" i="2"/>
  <c r="BT3" i="2"/>
  <c r="BT70" i="2"/>
  <c r="BT40" i="2"/>
  <c r="BT31" i="2"/>
  <c r="BT20" i="2"/>
  <c r="BT9" i="2"/>
  <c r="BT1" i="2"/>
  <c r="BP130" i="2"/>
  <c r="BP131" i="2"/>
  <c r="BP132" i="2"/>
  <c r="BP133" i="2"/>
  <c r="BP136" i="2"/>
  <c r="BP138" i="2"/>
  <c r="AR139" i="2"/>
  <c r="BP139" i="2"/>
  <c r="AR140" i="2"/>
  <c r="BP141" i="2"/>
  <c r="AR143" i="2"/>
  <c r="BP143" i="2"/>
  <c r="EH203" i="2"/>
  <c r="EG203" i="2"/>
  <c r="BU81" i="2" l="1"/>
  <c r="BU205" i="2"/>
  <c r="BT78" i="2"/>
  <c r="BT36" i="2"/>
  <c r="BT81" i="2" l="1"/>
  <c r="BR3" i="2"/>
  <c r="BQ3" i="2"/>
  <c r="BP3" i="2"/>
  <c r="BO3" i="2"/>
  <c r="BN3" i="2"/>
  <c r="BM3" i="2"/>
  <c r="BL3" i="2"/>
  <c r="BK3" i="2"/>
  <c r="BJ3" i="2"/>
  <c r="BI3" i="2"/>
  <c r="BH3" i="2"/>
  <c r="BG3" i="2"/>
  <c r="BF3" i="2"/>
  <c r="BE3" i="2"/>
  <c r="BD3" i="2"/>
  <c r="BC3" i="2"/>
  <c r="BB3" i="2"/>
  <c r="BA3" i="2"/>
  <c r="AZ3" i="2"/>
  <c r="AY3" i="2"/>
  <c r="AX3" i="2"/>
  <c r="AW3" i="2"/>
  <c r="AV3" i="2"/>
  <c r="AU3" i="2"/>
  <c r="AT3" i="2"/>
  <c r="AS3" i="2"/>
  <c r="AR3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EB3" i="2"/>
  <c r="DY3" i="3"/>
  <c r="BO3" i="3"/>
  <c r="CR21" i="2"/>
  <c r="DH63" i="2"/>
  <c r="EF55" i="2"/>
  <c r="DI34" i="2"/>
  <c r="EE48" i="2"/>
  <c r="CR53" i="2"/>
  <c r="DJ73" i="2"/>
  <c r="DM61" i="2"/>
  <c r="DJ60" i="2"/>
  <c r="CM28" i="2"/>
  <c r="CK27" i="2"/>
  <c r="DQ74" i="2"/>
  <c r="CO12" i="2"/>
  <c r="DV74" i="2"/>
  <c r="DJ34" i="2"/>
  <c r="DZ54" i="2"/>
  <c r="DI71" i="2"/>
  <c r="DI58" i="2"/>
  <c r="CJ11" i="2"/>
  <c r="CH63" i="2"/>
  <c r="CN63" i="2"/>
  <c r="DH24" i="2"/>
  <c r="CO26" i="2"/>
  <c r="DO60" i="2"/>
  <c r="CO51" i="2"/>
  <c r="DX33" i="2"/>
  <c r="DJ12" i="2"/>
  <c r="EF52" i="2"/>
  <c r="EF66" i="2"/>
  <c r="CL60" i="2"/>
  <c r="DX52" i="2"/>
  <c r="DO52" i="2"/>
  <c r="DR16" i="2"/>
  <c r="CO68" i="2"/>
  <c r="DG49" i="2"/>
  <c r="CZ65" i="2"/>
  <c r="CN50" i="2"/>
  <c r="CI14" i="2"/>
  <c r="DG59" i="2"/>
  <c r="EA46" i="2"/>
  <c r="DG75" i="2"/>
  <c r="DU33" i="2"/>
  <c r="CI11" i="2"/>
  <c r="EA34" i="2"/>
  <c r="CK66" i="2"/>
  <c r="CU55" i="2"/>
  <c r="CK14" i="2"/>
  <c r="DI72" i="2"/>
  <c r="DN54" i="2"/>
  <c r="DD33" i="2"/>
  <c r="CZ72" i="2"/>
  <c r="CJ63" i="2"/>
  <c r="DJ50" i="2"/>
  <c r="CI33" i="2"/>
  <c r="CZ71" i="2"/>
  <c r="DZ60" i="2"/>
  <c r="CY21" i="2"/>
  <c r="CO72" i="2"/>
  <c r="CX48" i="2"/>
  <c r="DC76" i="2"/>
  <c r="CZ60" i="2"/>
  <c r="CT26" i="2"/>
  <c r="DF51" i="2"/>
  <c r="DT22" i="2"/>
  <c r="CK28" i="2"/>
  <c r="EC47" i="2"/>
  <c r="DM73" i="2"/>
  <c r="DV41" i="2"/>
  <c r="DO66" i="2"/>
  <c r="DO29" i="2"/>
  <c r="DQ14" i="2"/>
  <c r="CO58" i="2"/>
  <c r="CJ24" i="2"/>
  <c r="CH18" i="2"/>
  <c r="DR65" i="2"/>
  <c r="EA68" i="2"/>
  <c r="DR63" i="2"/>
  <c r="DF11" i="2"/>
  <c r="DQ59" i="2"/>
  <c r="DB24" i="2"/>
  <c r="CS46" i="2"/>
  <c r="CV53" i="2"/>
  <c r="DJ24" i="2"/>
  <c r="CT68" i="2"/>
  <c r="DX43" i="2"/>
  <c r="CN75" i="2"/>
  <c r="DV204" i="2"/>
  <c r="DU64" i="2"/>
  <c r="EB204" i="2"/>
  <c r="CQ72" i="2"/>
  <c r="DM34" i="2"/>
  <c r="CX71" i="2"/>
  <c r="CZ33" i="2"/>
  <c r="DQ28" i="2"/>
  <c r="CT14" i="2"/>
  <c r="DV22" i="2"/>
  <c r="DI53" i="2"/>
  <c r="DJ65" i="2"/>
  <c r="CH62" i="2"/>
  <c r="DR71" i="2"/>
  <c r="DU50" i="2"/>
  <c r="CK62" i="2"/>
  <c r="CK45" i="2"/>
  <c r="EF14" i="2"/>
  <c r="DI24" i="2"/>
  <c r="DV73" i="2"/>
  <c r="DR28" i="2"/>
  <c r="DS48" i="2"/>
  <c r="CI55" i="2"/>
  <c r="DW27" i="2"/>
  <c r="DD74" i="2"/>
  <c r="CX22" i="2"/>
  <c r="CP24" i="2"/>
  <c r="DY12" i="2"/>
  <c r="CI49" i="2"/>
  <c r="DD61" i="2"/>
  <c r="CO33" i="2"/>
  <c r="DY41" i="2"/>
  <c r="DU49" i="2"/>
  <c r="CX21" i="2"/>
  <c r="DK74" i="2"/>
  <c r="CY45" i="2"/>
  <c r="CW76" i="2"/>
  <c r="CX66" i="2"/>
  <c r="DA43" i="2"/>
  <c r="DV18" i="2"/>
  <c r="DP16" i="2"/>
  <c r="CZ53" i="2"/>
  <c r="CV72" i="2"/>
  <c r="CJ15" i="2"/>
  <c r="CK203" i="2"/>
  <c r="EC43" i="2"/>
  <c r="CY12" i="2"/>
  <c r="DA27" i="2"/>
  <c r="DO25" i="2"/>
  <c r="EE44" i="2"/>
  <c r="DH54" i="2"/>
  <c r="DP42" i="2"/>
  <c r="DW204" i="2"/>
  <c r="DS68" i="2"/>
  <c r="DU43" i="2"/>
  <c r="DE54" i="2"/>
  <c r="DX203" i="2"/>
  <c r="CJ47" i="2"/>
  <c r="DW45" i="2"/>
  <c r="DH18" i="2"/>
  <c r="DQ53" i="2"/>
  <c r="CW65" i="2"/>
  <c r="CQ16" i="2"/>
  <c r="CV65" i="2"/>
  <c r="EE59" i="2"/>
  <c r="DF68" i="2"/>
  <c r="DL76" i="2"/>
  <c r="CU26" i="2"/>
  <c r="EC51" i="2"/>
  <c r="DZ26" i="2"/>
  <c r="DX63" i="2"/>
  <c r="CP58" i="2"/>
  <c r="CJ49" i="2"/>
  <c r="DH16" i="2"/>
  <c r="CO32" i="2"/>
  <c r="DK72" i="2"/>
  <c r="ED16" i="2"/>
  <c r="CI61" i="2"/>
  <c r="DX14" i="2"/>
  <c r="DM63" i="2"/>
  <c r="DD25" i="2"/>
  <c r="CW63" i="2"/>
  <c r="DL55" i="2"/>
  <c r="DB61" i="2"/>
  <c r="CW48" i="2"/>
  <c r="CW75" i="2"/>
  <c r="DM12" i="2"/>
  <c r="CL62" i="2"/>
  <c r="CW58" i="2"/>
  <c r="ED14" i="2"/>
  <c r="CU75" i="2"/>
  <c r="CQ12" i="2"/>
  <c r="CH55" i="2"/>
  <c r="ED12" i="2"/>
  <c r="CV74" i="2"/>
  <c r="CP64" i="2"/>
  <c r="DQ22" i="2"/>
  <c r="DY63" i="2"/>
  <c r="CH46" i="2"/>
  <c r="DR66" i="2"/>
  <c r="CS54" i="2"/>
  <c r="EE51" i="2"/>
  <c r="CW43" i="2"/>
  <c r="DX10" i="2"/>
  <c r="CM71" i="2"/>
  <c r="CY61" i="2"/>
  <c r="CS55" i="2"/>
  <c r="DA25" i="2"/>
  <c r="EE46" i="2"/>
  <c r="DM59" i="2"/>
  <c r="DD14" i="2"/>
  <c r="DC68" i="2"/>
  <c r="DL43" i="2"/>
  <c r="DH59" i="2"/>
  <c r="CL45" i="2"/>
  <c r="CM204" i="2"/>
  <c r="CV203" i="2"/>
  <c r="EB61" i="2"/>
  <c r="EF27" i="2"/>
  <c r="DH60" i="2"/>
  <c r="CK18" i="2"/>
  <c r="DQ46" i="2"/>
  <c r="DN48" i="2"/>
  <c r="EE58" i="2"/>
  <c r="CY32" i="2"/>
  <c r="DJ71" i="2"/>
  <c r="DT73" i="2"/>
  <c r="DB55" i="2"/>
  <c r="DK45" i="2"/>
  <c r="DC61" i="2"/>
  <c r="CY14" i="2"/>
  <c r="CO74" i="2"/>
  <c r="CO34" i="2"/>
  <c r="CQ60" i="2"/>
  <c r="EA18" i="2"/>
  <c r="CM50" i="2"/>
  <c r="DZ46" i="2"/>
  <c r="CQ34" i="2"/>
  <c r="EA44" i="2"/>
  <c r="DT48" i="2"/>
  <c r="DX16" i="2"/>
  <c r="DA58" i="2"/>
  <c r="DN76" i="2"/>
  <c r="CX45" i="2"/>
  <c r="DV26" i="2"/>
  <c r="CK12" i="2"/>
  <c r="EC65" i="2"/>
  <c r="ED45" i="2"/>
  <c r="DL44" i="2"/>
  <c r="DG29" i="2"/>
  <c r="CV49" i="2"/>
  <c r="DT66" i="2"/>
  <c r="CJ45" i="2"/>
  <c r="CL72" i="2"/>
  <c r="CO76" i="2"/>
  <c r="CM62" i="2"/>
  <c r="CX53" i="2"/>
  <c r="DX47" i="2"/>
  <c r="CH16" i="2"/>
  <c r="DP51" i="2"/>
  <c r="CR41" i="2"/>
  <c r="DS62" i="2"/>
  <c r="DD21" i="2"/>
  <c r="DP54" i="2"/>
  <c r="DN27" i="2"/>
  <c r="CO41" i="2"/>
  <c r="DG33" i="2"/>
  <c r="EB12" i="2"/>
  <c r="CO59" i="2"/>
  <c r="CN45" i="2"/>
  <c r="DQ71" i="2"/>
  <c r="CP73" i="2"/>
  <c r="EC25" i="2"/>
  <c r="CW18" i="2"/>
  <c r="DD43" i="2"/>
  <c r="CQ33" i="2"/>
  <c r="DU66" i="2"/>
  <c r="DE10" i="2"/>
  <c r="DL75" i="2"/>
  <c r="CV16" i="2"/>
  <c r="DK63" i="2"/>
  <c r="DV21" i="2"/>
  <c r="EE21" i="2"/>
  <c r="CK73" i="2"/>
  <c r="CM46" i="2"/>
  <c r="CU29" i="2"/>
  <c r="CP50" i="2"/>
  <c r="CV61" i="2"/>
  <c r="DW15" i="2"/>
  <c r="CH74" i="2"/>
  <c r="EA72" i="2"/>
  <c r="CV28" i="2"/>
  <c r="DZ59" i="2"/>
  <c r="DZ75" i="2"/>
  <c r="ED26" i="2"/>
  <c r="DR72" i="2"/>
  <c r="DJ10" i="2"/>
  <c r="CO64" i="2"/>
  <c r="DV62" i="2"/>
  <c r="DF53" i="2"/>
  <c r="ED51" i="2"/>
  <c r="EB41" i="2"/>
  <c r="DU32" i="2"/>
  <c r="CO28" i="2"/>
  <c r="CH21" i="2"/>
  <c r="DT10" i="2"/>
  <c r="DP41" i="2"/>
  <c r="DA65" i="2"/>
  <c r="CJ65" i="2"/>
  <c r="CM41" i="2"/>
  <c r="CX15" i="2"/>
  <c r="DY203" i="2"/>
  <c r="DQ47" i="2"/>
  <c r="DF34" i="2"/>
  <c r="CZ45" i="2"/>
  <c r="CV24" i="2"/>
  <c r="DI49" i="2"/>
  <c r="CQ61" i="2"/>
  <c r="DH72" i="2"/>
  <c r="CY71" i="2"/>
  <c r="DB66" i="2"/>
  <c r="CP61" i="2"/>
  <c r="DO51" i="2"/>
  <c r="DS55" i="2"/>
  <c r="DL49" i="2"/>
  <c r="DU26" i="2"/>
  <c r="CX76" i="2"/>
  <c r="DW24" i="2"/>
  <c r="EE50" i="2"/>
  <c r="CS53" i="2"/>
  <c r="CZ16" i="2"/>
  <c r="CU58" i="2"/>
  <c r="CM11" i="2"/>
  <c r="DB50" i="2"/>
  <c r="CH29" i="2"/>
  <c r="CN22" i="2"/>
  <c r="CT48" i="2"/>
  <c r="DC24" i="2"/>
  <c r="DS15" i="2"/>
  <c r="CO45" i="2"/>
  <c r="DP64" i="2"/>
  <c r="DH47" i="2"/>
  <c r="DQ33" i="2"/>
  <c r="DV12" i="2"/>
  <c r="CI203" i="2"/>
  <c r="EE32" i="2"/>
  <c r="CL41" i="2"/>
  <c r="DY25" i="2"/>
  <c r="CW26" i="2"/>
  <c r="CP55" i="2"/>
  <c r="CM26" i="2"/>
  <c r="DO54" i="2"/>
  <c r="CP33" i="2"/>
  <c r="EE73" i="2"/>
  <c r="DM16" i="2"/>
  <c r="EC42" i="2"/>
  <c r="DM21" i="2"/>
  <c r="EC60" i="2"/>
  <c r="EB25" i="2"/>
  <c r="DN49" i="2"/>
  <c r="CY28" i="2"/>
  <c r="DK32" i="2"/>
  <c r="CS74" i="2"/>
  <c r="DP10" i="2"/>
  <c r="DD72" i="2"/>
  <c r="DV61" i="2"/>
  <c r="DJ48" i="2"/>
  <c r="DM43" i="2"/>
  <c r="DM15" i="2"/>
  <c r="CJ72" i="2"/>
  <c r="EE15" i="2"/>
  <c r="CQ11" i="2"/>
  <c r="DX22" i="2"/>
  <c r="CT15" i="2"/>
  <c r="DI28" i="2"/>
  <c r="DY71" i="2"/>
  <c r="DI12" i="2"/>
  <c r="CJ32" i="2"/>
  <c r="DC62" i="2"/>
  <c r="DQ51" i="2"/>
  <c r="EC34" i="2"/>
  <c r="DQ73" i="2"/>
  <c r="DP12" i="2"/>
  <c r="DG48" i="2"/>
  <c r="DF12" i="2"/>
  <c r="DC47" i="2"/>
  <c r="DZ47" i="2"/>
  <c r="CI41" i="2"/>
  <c r="CS48" i="2"/>
  <c r="DI33" i="2"/>
  <c r="DA49" i="2"/>
  <c r="DW41" i="2"/>
  <c r="DZ14" i="2"/>
  <c r="CL65" i="2"/>
  <c r="CS22" i="2"/>
  <c r="CS26" i="2"/>
  <c r="CZ52" i="2"/>
  <c r="DQ18" i="2"/>
  <c r="DQ75" i="2"/>
  <c r="EE43" i="2"/>
  <c r="DB16" i="2"/>
  <c r="CJ10" i="2"/>
  <c r="DB48" i="2"/>
  <c r="DD10" i="2"/>
  <c r="EE41" i="2"/>
  <c r="DC32" i="2"/>
  <c r="DM27" i="2"/>
  <c r="DQ76" i="2"/>
  <c r="CW55" i="2"/>
  <c r="DF16" i="2"/>
  <c r="CQ32" i="2"/>
  <c r="CW46" i="2"/>
  <c r="DI44" i="2"/>
  <c r="ED22" i="2"/>
  <c r="DB68" i="2"/>
  <c r="DU44" i="2"/>
  <c r="DC73" i="2"/>
  <c r="DT58" i="2"/>
  <c r="DZ65" i="2"/>
  <c r="DY14" i="2"/>
  <c r="DA55" i="2"/>
  <c r="CS47" i="2"/>
  <c r="DW46" i="2"/>
  <c r="CU74" i="2"/>
  <c r="DH71" i="2"/>
  <c r="CN28" i="2"/>
  <c r="DC71" i="2"/>
  <c r="CL76" i="2"/>
  <c r="DQ27" i="2"/>
  <c r="DG58" i="2"/>
  <c r="CZ26" i="2"/>
  <c r="DK29" i="2"/>
  <c r="DA22" i="2"/>
  <c r="DF64" i="2"/>
  <c r="ED48" i="2"/>
  <c r="DC33" i="2"/>
  <c r="ED61" i="2"/>
  <c r="DT49" i="2"/>
  <c r="ED15" i="2"/>
  <c r="EB29" i="2"/>
  <c r="DW65" i="2"/>
  <c r="DK76" i="2"/>
  <c r="DS76" i="2"/>
  <c r="CV43" i="2"/>
  <c r="DN29" i="2"/>
  <c r="CN204" i="2"/>
  <c r="DP11" i="2"/>
  <c r="CT203" i="2"/>
  <c r="DU74" i="2"/>
  <c r="DZ50" i="2"/>
  <c r="CU16" i="2"/>
  <c r="CQ10" i="2"/>
  <c r="DW49" i="2"/>
  <c r="CY49" i="2"/>
  <c r="DB63" i="2"/>
  <c r="EB72" i="2"/>
  <c r="CK15" i="2"/>
  <c r="CH41" i="2"/>
  <c r="CW10" i="2"/>
  <c r="CU68" i="2"/>
  <c r="DQ58" i="2"/>
  <c r="DP50" i="2"/>
  <c r="DX29" i="2"/>
  <c r="EB24" i="2"/>
  <c r="DO48" i="2"/>
  <c r="DE25" i="2"/>
  <c r="CJ18" i="2"/>
  <c r="DA68" i="2"/>
  <c r="DR11" i="2"/>
  <c r="DV55" i="2"/>
  <c r="CU61" i="2"/>
  <c r="EC54" i="2"/>
  <c r="CY16" i="2"/>
  <c r="DD65" i="2"/>
  <c r="DL42" i="2"/>
  <c r="DN15" i="2"/>
  <c r="EB27" i="2"/>
  <c r="DF28" i="2"/>
  <c r="DD66" i="2"/>
  <c r="DU15" i="2"/>
  <c r="CZ25" i="2"/>
  <c r="DF32" i="2"/>
  <c r="CU11" i="2"/>
  <c r="CL44" i="2"/>
  <c r="DC51" i="2"/>
  <c r="DO42" i="2"/>
  <c r="DF59" i="2"/>
  <c r="EF29" i="2"/>
  <c r="DL32" i="2"/>
  <c r="DE27" i="2"/>
  <c r="EA75" i="2"/>
  <c r="CI51" i="2"/>
  <c r="DS25" i="2"/>
  <c r="DS54" i="2"/>
  <c r="DZ55" i="2"/>
  <c r="DW16" i="2"/>
  <c r="CR75" i="2"/>
  <c r="CP44" i="2"/>
  <c r="CY10" i="2"/>
  <c r="EC68" i="2"/>
  <c r="CO14" i="2"/>
  <c r="DN47" i="2"/>
  <c r="CM10" i="2"/>
  <c r="CU34" i="2"/>
  <c r="DU65" i="2"/>
  <c r="CT24" i="2"/>
  <c r="CV33" i="2"/>
  <c r="DO21" i="2"/>
  <c r="EF62" i="2"/>
  <c r="DF15" i="2"/>
  <c r="DY43" i="2"/>
  <c r="DQ44" i="2"/>
  <c r="DF54" i="2"/>
  <c r="DA16" i="2"/>
  <c r="DG15" i="2"/>
  <c r="DR14" i="2"/>
  <c r="DE61" i="2"/>
  <c r="DE52" i="2"/>
  <c r="CJ68" i="2"/>
  <c r="CI29" i="2"/>
  <c r="CL58" i="2"/>
  <c r="DY46" i="2"/>
  <c r="DA66" i="2"/>
  <c r="DH50" i="2"/>
  <c r="DD55" i="2"/>
  <c r="CY41" i="2"/>
  <c r="CZ62" i="2"/>
  <c r="DV72" i="2"/>
  <c r="DT72" i="2"/>
  <c r="DU28" i="2"/>
  <c r="EE203" i="2"/>
  <c r="CP43" i="2"/>
  <c r="DT63" i="2"/>
  <c r="DC66" i="2"/>
  <c r="DA64" i="2"/>
  <c r="CQ24" i="2"/>
  <c r="CQ49" i="2"/>
  <c r="DE44" i="2"/>
  <c r="DF14" i="2"/>
  <c r="DK66" i="2"/>
  <c r="CZ58" i="2"/>
  <c r="DH15" i="2"/>
  <c r="CH11" i="2"/>
  <c r="CP12" i="2"/>
  <c r="CU32" i="2"/>
  <c r="DH21" i="2"/>
  <c r="DF24" i="2"/>
  <c r="DI75" i="2"/>
  <c r="DG52" i="2"/>
  <c r="DI27" i="2"/>
  <c r="DC15" i="2"/>
  <c r="DZ21" i="2"/>
  <c r="DG28" i="2"/>
  <c r="CU52" i="2"/>
  <c r="CK74" i="2"/>
  <c r="DE15" i="2"/>
  <c r="DT44" i="2"/>
  <c r="CJ29" i="2"/>
  <c r="DM65" i="2"/>
  <c r="CI22" i="2"/>
  <c r="DB58" i="2"/>
  <c r="DI51" i="2"/>
  <c r="DN59" i="2"/>
  <c r="CJ43" i="2"/>
  <c r="CZ66" i="2"/>
  <c r="CM43" i="2"/>
  <c r="DZ12" i="2"/>
  <c r="CR74" i="2"/>
  <c r="DE24" i="2"/>
  <c r="EC29" i="2"/>
  <c r="EF50" i="2"/>
  <c r="CH25" i="2"/>
  <c r="DA34" i="2"/>
  <c r="CH32" i="2"/>
  <c r="CH10" i="2"/>
  <c r="DM46" i="2"/>
  <c r="DH49" i="2"/>
  <c r="DY26" i="2"/>
  <c r="CY203" i="2"/>
  <c r="CQ54" i="2"/>
  <c r="CO63" i="2"/>
  <c r="DE63" i="2"/>
  <c r="CO60" i="2"/>
  <c r="EB73" i="2"/>
  <c r="DR75" i="2"/>
  <c r="CW41" i="2"/>
  <c r="DI55" i="2"/>
  <c r="DY32" i="2"/>
  <c r="DL11" i="2"/>
  <c r="DO64" i="2"/>
  <c r="DO44" i="2"/>
  <c r="CS44" i="2"/>
  <c r="DL60" i="2"/>
  <c r="DO43" i="2"/>
  <c r="CX46" i="2"/>
  <c r="DH26" i="2"/>
  <c r="DB74" i="2"/>
  <c r="CL11" i="2"/>
  <c r="DO58" i="2"/>
  <c r="DV48" i="2"/>
  <c r="DC64" i="2"/>
  <c r="EB68" i="2"/>
  <c r="CL51" i="2"/>
  <c r="DT52" i="2"/>
  <c r="DW32" i="2"/>
  <c r="DM54" i="2"/>
  <c r="EA15" i="2"/>
  <c r="DS34" i="2"/>
  <c r="CJ73" i="2"/>
  <c r="DP22" i="2"/>
  <c r="CU21" i="2"/>
  <c r="DM45" i="2"/>
  <c r="EB42" i="2"/>
  <c r="CR18" i="2"/>
  <c r="CO204" i="2"/>
  <c r="DP55" i="2"/>
  <c r="CK55" i="2"/>
  <c r="CS73" i="2"/>
  <c r="DJ52" i="2"/>
  <c r="CK54" i="2"/>
  <c r="DG62" i="2"/>
  <c r="CU51" i="2"/>
  <c r="DD12" i="2"/>
  <c r="DU68" i="2"/>
  <c r="DR34" i="2"/>
  <c r="DB18" i="2"/>
  <c r="ED58" i="2"/>
  <c r="DA29" i="2"/>
  <c r="DW52" i="2"/>
  <c r="DU52" i="2"/>
  <c r="DY204" i="2"/>
  <c r="CP203" i="2"/>
  <c r="ED34" i="2"/>
  <c r="CW203" i="2"/>
  <c r="CJ26" i="2"/>
  <c r="DT50" i="2"/>
  <c r="DW55" i="2"/>
  <c r="CR76" i="2"/>
  <c r="DV66" i="2"/>
  <c r="DC60" i="2"/>
  <c r="DL27" i="2"/>
  <c r="DR64" i="2"/>
  <c r="CR14" i="2"/>
  <c r="EB49" i="2"/>
  <c r="DF52" i="2"/>
  <c r="EF49" i="2"/>
  <c r="DN18" i="2"/>
  <c r="DH58" i="2"/>
  <c r="DP28" i="2"/>
  <c r="EA66" i="2"/>
  <c r="DK54" i="2"/>
  <c r="DI29" i="2"/>
  <c r="DQ54" i="2"/>
  <c r="DR42" i="2"/>
  <c r="EF64" i="2"/>
  <c r="CT74" i="2"/>
  <c r="CV46" i="2"/>
  <c r="CM68" i="2"/>
  <c r="DS44" i="2"/>
  <c r="CM49" i="2"/>
  <c r="EC203" i="2"/>
  <c r="CZ24" i="2"/>
  <c r="CI44" i="2"/>
  <c r="DP74" i="2"/>
  <c r="CR65" i="2"/>
  <c r="CW72" i="2"/>
  <c r="CZ51" i="2"/>
  <c r="CU53" i="2"/>
  <c r="DQ12" i="2"/>
  <c r="DZ32" i="2"/>
  <c r="DP33" i="2"/>
  <c r="DC72" i="2"/>
  <c r="DP27" i="2"/>
  <c r="DQ48" i="2"/>
  <c r="DW51" i="2"/>
  <c r="CK58" i="2"/>
  <c r="DW18" i="2"/>
  <c r="DL34" i="2"/>
  <c r="DV44" i="2"/>
  <c r="EF65" i="2"/>
  <c r="DQ41" i="2"/>
  <c r="CY46" i="2"/>
  <c r="DB27" i="2"/>
  <c r="DA11" i="2"/>
  <c r="CV60" i="2"/>
  <c r="CN65" i="2"/>
  <c r="DZ76" i="2"/>
  <c r="EC71" i="2"/>
  <c r="EC63" i="2"/>
  <c r="DI16" i="2"/>
  <c r="DH34" i="2"/>
  <c r="DV54" i="2"/>
  <c r="CO203" i="2"/>
  <c r="DY10" i="2"/>
  <c r="ED204" i="2"/>
  <c r="DO10" i="2"/>
  <c r="CY64" i="2"/>
  <c r="DA53" i="2"/>
  <c r="CV32" i="2"/>
  <c r="DC27" i="2"/>
  <c r="DA24" i="2"/>
  <c r="DJ46" i="2"/>
  <c r="ED76" i="2"/>
  <c r="DN34" i="2"/>
  <c r="DG45" i="2"/>
  <c r="CZ22" i="2"/>
  <c r="DX50" i="2"/>
  <c r="DJ53" i="2"/>
  <c r="DZ42" i="2"/>
  <c r="EA64" i="2"/>
  <c r="DB25" i="2"/>
  <c r="DO27" i="2"/>
  <c r="DI32" i="2"/>
  <c r="DA44" i="2"/>
  <c r="CU59" i="2"/>
  <c r="DQ62" i="2"/>
  <c r="CX11" i="2"/>
  <c r="ED75" i="2"/>
  <c r="CK65" i="2"/>
  <c r="CL29" i="2"/>
  <c r="EC22" i="2"/>
  <c r="DP53" i="2"/>
  <c r="DT62" i="2"/>
  <c r="DE32" i="2"/>
  <c r="CW25" i="2"/>
  <c r="DT32" i="2"/>
  <c r="DD58" i="2"/>
  <c r="DF48" i="2"/>
  <c r="DN60" i="2"/>
  <c r="CX62" i="2"/>
  <c r="DG55" i="2"/>
  <c r="DG65" i="2"/>
  <c r="EB22" i="2"/>
  <c r="DP72" i="2"/>
  <c r="CI60" i="2"/>
  <c r="DC43" i="2"/>
  <c r="DS60" i="2"/>
  <c r="CX68" i="2"/>
  <c r="DM25" i="2"/>
  <c r="CS62" i="2"/>
  <c r="DR60" i="2"/>
  <c r="DX61" i="2"/>
  <c r="CI34" i="2"/>
  <c r="CJ34" i="2"/>
  <c r="EC10" i="2"/>
  <c r="CX14" i="2"/>
  <c r="ED29" i="2"/>
  <c r="CS72" i="2"/>
  <c r="DO11" i="2"/>
  <c r="DM74" i="2"/>
  <c r="CU46" i="2"/>
  <c r="CY66" i="2"/>
  <c r="CM15" i="2"/>
  <c r="EC72" i="2"/>
  <c r="DE60" i="2"/>
  <c r="EA54" i="2"/>
  <c r="EE71" i="2"/>
  <c r="DF73" i="2"/>
  <c r="CM52" i="2"/>
  <c r="CV64" i="2"/>
  <c r="DL61" i="2"/>
  <c r="CU12" i="2"/>
  <c r="DV15" i="2"/>
  <c r="EF33" i="2"/>
  <c r="DD52" i="2"/>
  <c r="DY22" i="2"/>
  <c r="CH34" i="2"/>
  <c r="DN28" i="2"/>
  <c r="DL52" i="2"/>
  <c r="CQ46" i="2"/>
  <c r="DU55" i="2"/>
  <c r="DX73" i="2"/>
  <c r="CH53" i="2"/>
  <c r="CK63" i="2"/>
  <c r="CN203" i="2"/>
  <c r="DB10" i="2"/>
  <c r="CY18" i="2"/>
  <c r="CR61" i="2"/>
  <c r="DL62" i="2"/>
  <c r="DM49" i="2"/>
  <c r="CW47" i="2"/>
  <c r="DI74" i="2"/>
  <c r="CX47" i="2"/>
  <c r="CS60" i="2"/>
  <c r="DL33" i="2"/>
  <c r="DV64" i="2"/>
  <c r="CM45" i="2"/>
  <c r="CP71" i="2"/>
  <c r="CQ41" i="2"/>
  <c r="CM24" i="2"/>
  <c r="CO15" i="2"/>
  <c r="DH73" i="2"/>
  <c r="DW22" i="2"/>
  <c r="DK33" i="2"/>
  <c r="DL74" i="2"/>
  <c r="DG47" i="2"/>
  <c r="EB11" i="2"/>
  <c r="CU24" i="2"/>
  <c r="CQ15" i="2"/>
  <c r="CU33" i="2"/>
  <c r="DN14" i="2"/>
  <c r="CK46" i="2"/>
  <c r="CL14" i="2"/>
  <c r="CK61" i="2"/>
  <c r="CM66" i="2"/>
  <c r="DX66" i="2"/>
  <c r="CY54" i="2"/>
  <c r="DB12" i="2"/>
  <c r="DO32" i="2"/>
  <c r="DZ52" i="2"/>
  <c r="DL14" i="2"/>
  <c r="DK12" i="2"/>
  <c r="DQ11" i="2"/>
  <c r="CJ76" i="2"/>
  <c r="ED49" i="2"/>
  <c r="DS47" i="2"/>
  <c r="EB53" i="2"/>
  <c r="DX64" i="2"/>
  <c r="CJ75" i="2"/>
  <c r="CM203" i="2"/>
  <c r="CV21" i="2"/>
  <c r="DU21" i="2"/>
  <c r="EB65" i="2"/>
  <c r="DK26" i="2"/>
  <c r="DB72" i="2"/>
  <c r="CX26" i="2"/>
  <c r="CY53" i="2"/>
  <c r="ED21" i="2"/>
  <c r="CN16" i="2"/>
  <c r="CU71" i="2"/>
  <c r="CH27" i="2"/>
  <c r="CM51" i="2"/>
  <c r="EE62" i="2"/>
  <c r="CP11" i="2"/>
  <c r="CY27" i="2"/>
  <c r="DM24" i="2"/>
  <c r="DH12" i="2"/>
  <c r="CS11" i="2"/>
  <c r="CL10" i="2"/>
  <c r="EE49" i="2"/>
  <c r="EF60" i="2"/>
  <c r="CI26" i="2"/>
  <c r="DP21" i="2"/>
  <c r="CS71" i="2"/>
  <c r="CR47" i="2"/>
  <c r="DD60" i="2"/>
  <c r="CI47" i="2"/>
  <c r="DC58" i="2"/>
  <c r="DZ63" i="2"/>
  <c r="DE62" i="2"/>
  <c r="CI32" i="2"/>
  <c r="EA49" i="2"/>
  <c r="CP16" i="2"/>
  <c r="DH44" i="2"/>
  <c r="CK71" i="2"/>
  <c r="CJ54" i="2"/>
  <c r="DO53" i="2"/>
  <c r="DA21" i="2"/>
  <c r="DY73" i="2"/>
  <c r="CH22" i="2"/>
  <c r="DH28" i="2"/>
  <c r="CV11" i="2"/>
  <c r="DG46" i="2"/>
  <c r="DP76" i="2"/>
  <c r="CN43" i="2"/>
  <c r="DG50" i="2"/>
  <c r="DC50" i="2"/>
  <c r="DQ16" i="2"/>
  <c r="DZ66" i="2"/>
  <c r="CJ44" i="2"/>
  <c r="CX43" i="2"/>
  <c r="CL71" i="2"/>
  <c r="CN68" i="2"/>
  <c r="DA48" i="2"/>
  <c r="CM74" i="2"/>
  <c r="CJ27" i="2"/>
  <c r="CP29" i="2"/>
  <c r="EE26" i="2"/>
  <c r="CN64" i="2"/>
  <c r="DO46" i="2"/>
  <c r="DY47" i="2"/>
  <c r="DF22" i="2"/>
  <c r="CX33" i="2"/>
  <c r="CN32" i="2"/>
  <c r="CH58" i="2"/>
  <c r="CT46" i="2"/>
  <c r="EA62" i="2"/>
  <c r="DJ25" i="2"/>
  <c r="DC16" i="2"/>
  <c r="DE74" i="2"/>
  <c r="CO29" i="2"/>
  <c r="CY42" i="2"/>
  <c r="CM44" i="2"/>
  <c r="DU204" i="2"/>
  <c r="DA50" i="2"/>
  <c r="CK50" i="2"/>
  <c r="DL63" i="2"/>
  <c r="DY76" i="2"/>
  <c r="EA41" i="2"/>
  <c r="DY51" i="2"/>
  <c r="DE11" i="2"/>
  <c r="CJ41" i="2"/>
  <c r="CH64" i="2"/>
  <c r="CH59" i="2"/>
  <c r="DP58" i="2"/>
  <c r="EC32" i="2"/>
  <c r="CJ16" i="2"/>
  <c r="DY68" i="2"/>
  <c r="EF58" i="2"/>
  <c r="CM48" i="2"/>
  <c r="EE64" i="2"/>
  <c r="CS75" i="2"/>
  <c r="DM72" i="2"/>
  <c r="DB14" i="2"/>
  <c r="CR25" i="2"/>
  <c r="CN52" i="2"/>
  <c r="EF46" i="2"/>
  <c r="DI26" i="2"/>
  <c r="CJ50" i="2"/>
  <c r="CX44" i="2"/>
  <c r="CL74" i="2"/>
  <c r="CU203" i="2"/>
  <c r="EE12" i="2"/>
  <c r="CH73" i="2"/>
  <c r="CZ64" i="2"/>
  <c r="EA51" i="2"/>
  <c r="ED47" i="2"/>
  <c r="CX29" i="2"/>
  <c r="DN75" i="2"/>
  <c r="DF62" i="2"/>
  <c r="CT22" i="2"/>
  <c r="CU50" i="2"/>
  <c r="EC14" i="2"/>
  <c r="DA54" i="2"/>
  <c r="CO65" i="2"/>
  <c r="DE41" i="2"/>
  <c r="ED42" i="2"/>
  <c r="DN45" i="2"/>
  <c r="CZ11" i="2"/>
  <c r="DA15" i="2"/>
  <c r="EC15" i="2"/>
  <c r="DD64" i="2"/>
  <c r="DA10" i="2"/>
  <c r="DZ48" i="2"/>
  <c r="CQ50" i="2"/>
  <c r="EA203" i="2"/>
  <c r="DS21" i="2"/>
  <c r="DE76" i="2"/>
  <c r="CT65" i="2"/>
  <c r="CR15" i="2"/>
  <c r="DB65" i="2"/>
  <c r="DW59" i="2"/>
  <c r="DU12" i="2"/>
  <c r="CR52" i="2"/>
  <c r="DX60" i="2"/>
  <c r="CT25" i="2"/>
  <c r="DV58" i="2"/>
  <c r="DN51" i="2"/>
  <c r="DC46" i="2"/>
  <c r="CV22" i="2"/>
  <c r="DG18" i="2"/>
  <c r="DG14" i="2"/>
  <c r="DN71" i="2"/>
  <c r="CL21" i="2"/>
  <c r="DJ29" i="2"/>
  <c r="CY33" i="2"/>
  <c r="CW73" i="2"/>
  <c r="CZ75" i="2"/>
  <c r="DD18" i="2"/>
  <c r="DM41" i="2"/>
  <c r="DJ47" i="2"/>
  <c r="CP75" i="2"/>
  <c r="DR26" i="2"/>
  <c r="CT42" i="2"/>
  <c r="CP46" i="2"/>
  <c r="DQ25" i="2"/>
  <c r="DZ204" i="2"/>
  <c r="DW58" i="2"/>
  <c r="DN68" i="2"/>
  <c r="DX54" i="2"/>
  <c r="CW68" i="2"/>
  <c r="DU76" i="2"/>
  <c r="CZ55" i="2"/>
  <c r="EE74" i="2"/>
  <c r="DH43" i="2"/>
  <c r="DQ63" i="2"/>
  <c r="CZ21" i="2"/>
  <c r="CX18" i="2"/>
  <c r="DE48" i="2"/>
  <c r="DL54" i="2"/>
  <c r="DR54" i="2"/>
  <c r="DI14" i="2"/>
  <c r="CS49" i="2"/>
  <c r="EE65" i="2"/>
  <c r="DJ43" i="2"/>
  <c r="CU25" i="2"/>
  <c r="DZ29" i="2"/>
  <c r="DL66" i="2"/>
  <c r="DH75" i="2"/>
  <c r="CP63" i="2"/>
  <c r="DR10" i="2"/>
  <c r="CK24" i="2"/>
  <c r="DL28" i="2"/>
  <c r="DY59" i="2"/>
  <c r="DH27" i="2"/>
  <c r="DQ60" i="2"/>
  <c r="DK65" i="2"/>
  <c r="CH76" i="2"/>
  <c r="DL48" i="2"/>
  <c r="DY72" i="2"/>
  <c r="DE21" i="2"/>
  <c r="DV42" i="2"/>
  <c r="CT34" i="2"/>
  <c r="CS15" i="2"/>
  <c r="DR62" i="2"/>
  <c r="EA76" i="2"/>
  <c r="CL203" i="2"/>
  <c r="DR55" i="2"/>
  <c r="EE61" i="2"/>
  <c r="CT71" i="2"/>
  <c r="EE55" i="2"/>
  <c r="CN14" i="2"/>
  <c r="DX15" i="2"/>
  <c r="DA26" i="2"/>
  <c r="CT54" i="2"/>
  <c r="EF16" i="2"/>
  <c r="EA42" i="2"/>
  <c r="ED27" i="2"/>
  <c r="ED28" i="2"/>
  <c r="DG11" i="2"/>
  <c r="CO61" i="2"/>
  <c r="CN62" i="2"/>
  <c r="CY60" i="2"/>
  <c r="CT60" i="2"/>
  <c r="CV66" i="2"/>
  <c r="DP46" i="2"/>
  <c r="CQ26" i="2"/>
  <c r="DD50" i="2"/>
  <c r="DU11" i="2"/>
  <c r="CV59" i="2"/>
  <c r="CU10" i="2"/>
  <c r="DW53" i="2"/>
  <c r="CI43" i="2"/>
  <c r="EC28" i="2"/>
  <c r="CV29" i="2"/>
  <c r="DV52" i="2"/>
  <c r="CT59" i="2"/>
  <c r="DQ50" i="2"/>
  <c r="CO49" i="2"/>
  <c r="CO47" i="2"/>
  <c r="DI64" i="2"/>
  <c r="CJ48" i="2"/>
  <c r="DK50" i="2"/>
  <c r="DV47" i="2"/>
  <c r="EA33" i="2"/>
  <c r="DR41" i="2"/>
  <c r="DR49" i="2"/>
  <c r="CR49" i="2"/>
  <c r="CY50" i="2"/>
  <c r="DK49" i="2"/>
  <c r="DV60" i="2"/>
  <c r="CS25" i="2"/>
  <c r="DF41" i="2"/>
  <c r="DN21" i="2"/>
  <c r="DJ26" i="2"/>
  <c r="CP53" i="2"/>
  <c r="DY24" i="2"/>
  <c r="CW66" i="2"/>
  <c r="DI42" i="2"/>
  <c r="CX203" i="2"/>
  <c r="DY48" i="2"/>
  <c r="DT74" i="2"/>
  <c r="CK52" i="2"/>
  <c r="DB11" i="2"/>
  <c r="CP60" i="2"/>
  <c r="DK68" i="2"/>
  <c r="DO45" i="2"/>
  <c r="CP48" i="2"/>
  <c r="CR51" i="2"/>
  <c r="DF25" i="2"/>
  <c r="CK72" i="2"/>
  <c r="CZ28" i="2"/>
  <c r="DP61" i="2"/>
  <c r="CH61" i="2"/>
  <c r="DN50" i="2"/>
  <c r="DJ66" i="2"/>
  <c r="DI62" i="2"/>
  <c r="CS34" i="2"/>
  <c r="DY75" i="2"/>
  <c r="DA59" i="2"/>
  <c r="DC54" i="2"/>
  <c r="CH43" i="2"/>
  <c r="CL64" i="2"/>
  <c r="EA61" i="2"/>
  <c r="DY18" i="2"/>
  <c r="DU58" i="2"/>
  <c r="DE29" i="2"/>
  <c r="DN43" i="2"/>
  <c r="CK43" i="2"/>
  <c r="DC11" i="2"/>
  <c r="DY65" i="2"/>
  <c r="DR53" i="2"/>
  <c r="DZ28" i="2"/>
  <c r="EA58" i="2"/>
  <c r="CQ52" i="2"/>
  <c r="CX10" i="2"/>
  <c r="DG51" i="2"/>
  <c r="EE72" i="2"/>
  <c r="CJ21" i="2"/>
  <c r="DG10" i="2"/>
  <c r="CY52" i="2"/>
  <c r="EB32" i="2"/>
  <c r="CT64" i="2"/>
  <c r="DX12" i="2"/>
  <c r="CR27" i="2"/>
  <c r="CH48" i="2"/>
  <c r="CN26" i="2"/>
  <c r="CP22" i="2"/>
  <c r="DC22" i="2"/>
  <c r="CP28" i="2"/>
  <c r="CR44" i="2"/>
  <c r="CW53" i="2"/>
  <c r="DP65" i="2"/>
  <c r="CW32" i="2"/>
  <c r="CK75" i="2"/>
  <c r="CY65" i="2"/>
  <c r="DT47" i="2"/>
  <c r="DC74" i="2"/>
  <c r="CW11" i="2"/>
  <c r="CY68" i="2"/>
  <c r="DB28" i="2"/>
  <c r="CT52" i="2"/>
  <c r="DQ10" i="2"/>
  <c r="DI41" i="2"/>
  <c r="DF55" i="2"/>
  <c r="DK71" i="2"/>
  <c r="CZ68" i="2"/>
  <c r="DL68" i="2"/>
  <c r="DV10" i="2"/>
  <c r="DT29" i="2"/>
  <c r="CK42" i="2"/>
  <c r="CX64" i="2"/>
  <c r="DT51" i="2"/>
  <c r="DW28" i="2"/>
  <c r="DT43" i="2"/>
  <c r="EF18" i="2"/>
  <c r="DW71" i="2"/>
  <c r="DV14" i="2"/>
  <c r="CV58" i="2"/>
  <c r="EE54" i="2"/>
  <c r="DA14" i="2"/>
  <c r="CU42" i="2"/>
  <c r="CH12" i="2"/>
  <c r="CJ62" i="2"/>
  <c r="DZ44" i="2"/>
  <c r="DW21" i="2"/>
  <c r="CW44" i="2"/>
  <c r="CM61" i="2"/>
  <c r="EC66" i="2"/>
  <c r="CR68" i="2"/>
  <c r="DA76" i="2"/>
  <c r="DS65" i="2"/>
  <c r="CR28" i="2"/>
  <c r="CI52" i="2"/>
  <c r="DB64" i="2"/>
  <c r="CY75" i="2"/>
  <c r="EB21" i="2"/>
  <c r="CJ53" i="2"/>
  <c r="DC12" i="2"/>
  <c r="CL12" i="2"/>
  <c r="CK11" i="2"/>
  <c r="DS64" i="2"/>
  <c r="DE50" i="2"/>
  <c r="DL65" i="2"/>
  <c r="DL72" i="2"/>
  <c r="DO59" i="2"/>
  <c r="CR55" i="2"/>
  <c r="DN61" i="2"/>
  <c r="DB45" i="2"/>
  <c r="CR46" i="2"/>
  <c r="DJ28" i="2"/>
  <c r="DI60" i="2"/>
  <c r="EF73" i="2"/>
  <c r="DD59" i="2"/>
  <c r="CM16" i="2"/>
  <c r="DM76" i="2"/>
  <c r="EE18" i="2"/>
  <c r="DL21" i="2"/>
  <c r="DD76" i="2"/>
  <c r="DD11" i="2"/>
  <c r="DG25" i="2"/>
  <c r="DT46" i="2"/>
  <c r="CI54" i="2"/>
  <c r="CQ76" i="2"/>
  <c r="CH44" i="2"/>
  <c r="DG27" i="2"/>
  <c r="DL16" i="2"/>
  <c r="CO21" i="2"/>
  <c r="CN54" i="2"/>
  <c r="DQ64" i="2"/>
  <c r="EF22" i="2"/>
  <c r="EF203" i="2"/>
  <c r="DF10" i="2"/>
  <c r="EA12" i="2"/>
  <c r="CQ59" i="2"/>
  <c r="CI59" i="2"/>
  <c r="DU54" i="2"/>
  <c r="CZ50" i="2"/>
  <c r="CN76" i="2"/>
  <c r="CR72" i="2"/>
  <c r="EA45" i="2"/>
  <c r="DG34" i="2"/>
  <c r="DH33" i="2"/>
  <c r="DS29" i="2"/>
  <c r="DI18" i="2"/>
  <c r="DL64" i="2"/>
  <c r="EE10" i="2"/>
  <c r="DK44" i="2"/>
  <c r="CP42" i="2"/>
  <c r="CM53" i="2"/>
  <c r="DK16" i="2"/>
  <c r="DJ33" i="2"/>
  <c r="DP15" i="2"/>
  <c r="CV44" i="2"/>
  <c r="CJ22" i="2"/>
  <c r="DF65" i="2"/>
  <c r="CO52" i="2"/>
  <c r="DQ34" i="2"/>
  <c r="DE73" i="2"/>
  <c r="DV53" i="2"/>
  <c r="CW74" i="2"/>
  <c r="DS16" i="2"/>
  <c r="DD63" i="2"/>
  <c r="DN26" i="2"/>
  <c r="CR48" i="2"/>
  <c r="DJ16" i="2"/>
  <c r="DB42" i="2"/>
  <c r="CX73" i="2"/>
  <c r="CI28" i="2"/>
  <c r="DV34" i="2"/>
  <c r="EF47" i="2"/>
  <c r="DE49" i="2"/>
  <c r="CR32" i="2"/>
  <c r="CR43" i="2"/>
  <c r="CP45" i="2"/>
  <c r="DH14" i="2"/>
  <c r="ED62" i="2"/>
  <c r="DA61" i="2"/>
  <c r="CK47" i="2"/>
  <c r="DE59" i="2"/>
  <c r="CL24" i="2"/>
  <c r="CL55" i="2"/>
  <c r="DY66" i="2"/>
  <c r="DR46" i="2"/>
  <c r="DG53" i="2"/>
  <c r="DY42" i="2"/>
  <c r="EF51" i="2"/>
  <c r="DG76" i="2"/>
  <c r="EA73" i="2"/>
  <c r="CN51" i="2"/>
  <c r="CS18" i="2"/>
  <c r="CN46" i="2"/>
  <c r="DM11" i="2"/>
  <c r="DK14" i="2"/>
  <c r="CP27" i="2"/>
  <c r="DU29" i="2"/>
  <c r="DM68" i="2"/>
  <c r="CV34" i="2"/>
  <c r="ED50" i="2"/>
  <c r="EB15" i="2"/>
  <c r="DT25" i="2"/>
  <c r="CO27" i="2"/>
  <c r="CK10" i="2"/>
  <c r="DY34" i="2"/>
  <c r="EE204" i="2"/>
  <c r="CQ65" i="2"/>
  <c r="CV51" i="2"/>
  <c r="DN62" i="2"/>
  <c r="DJ74" i="2"/>
  <c r="DB47" i="2"/>
  <c r="CT29" i="2"/>
  <c r="CI18" i="2"/>
  <c r="CP47" i="2"/>
  <c r="CR71" i="2"/>
  <c r="CP25" i="2"/>
  <c r="DR76" i="2"/>
  <c r="DT21" i="2"/>
  <c r="CV41" i="2"/>
  <c r="EF41" i="2"/>
  <c r="DJ27" i="2"/>
  <c r="DM60" i="2"/>
  <c r="EA48" i="2"/>
  <c r="CN59" i="2"/>
  <c r="DM42" i="2"/>
  <c r="CZ18" i="2"/>
  <c r="DQ29" i="2"/>
  <c r="DG43" i="2"/>
  <c r="DQ72" i="2"/>
  <c r="CQ64" i="2"/>
  <c r="EF34" i="2"/>
  <c r="CR63" i="2"/>
  <c r="DF60" i="2"/>
  <c r="DY54" i="2"/>
  <c r="CO55" i="2"/>
  <c r="CI62" i="2"/>
  <c r="DI46" i="2"/>
  <c r="DK10" i="2"/>
  <c r="CT43" i="2"/>
  <c r="DJ22" i="2"/>
  <c r="CP204" i="2"/>
  <c r="DI22" i="2"/>
  <c r="DN52" i="2"/>
  <c r="CK53" i="2"/>
  <c r="CO22" i="2"/>
  <c r="EE29" i="2"/>
  <c r="DK75" i="2"/>
  <c r="DQ68" i="2"/>
  <c r="DD29" i="2"/>
  <c r="EB26" i="2"/>
  <c r="DL71" i="2"/>
  <c r="CT204" i="2"/>
  <c r="DE72" i="2"/>
  <c r="DE16" i="2"/>
  <c r="DE33" i="2"/>
  <c r="DM52" i="2"/>
  <c r="CN48" i="2"/>
  <c r="DP75" i="2"/>
  <c r="DF27" i="2"/>
  <c r="CK22" i="2"/>
  <c r="CQ73" i="2"/>
  <c r="CH60" i="2"/>
  <c r="CZ44" i="2"/>
  <c r="CL52" i="2"/>
  <c r="DP52" i="2"/>
  <c r="DM75" i="2"/>
  <c r="DJ72" i="2"/>
  <c r="ED68" i="2"/>
  <c r="DL51" i="2"/>
  <c r="CP54" i="2"/>
  <c r="CZ41" i="2"/>
  <c r="CY22" i="2"/>
  <c r="DB34" i="2"/>
  <c r="CO24" i="2"/>
  <c r="DK27" i="2"/>
  <c r="CN27" i="2"/>
  <c r="DU72" i="2"/>
  <c r="DX32" i="2"/>
  <c r="DK48" i="2"/>
  <c r="CT51" i="2"/>
  <c r="DZ64" i="2"/>
  <c r="CT28" i="2"/>
  <c r="DT59" i="2"/>
  <c r="DP68" i="2"/>
  <c r="DM48" i="2"/>
  <c r="CN18" i="2"/>
  <c r="DF50" i="2"/>
  <c r="CH51" i="2"/>
  <c r="DX25" i="2"/>
  <c r="CZ34" i="2"/>
  <c r="CQ203" i="2"/>
  <c r="CZ48" i="2"/>
  <c r="CW22" i="2"/>
  <c r="CN49" i="2"/>
  <c r="CR16" i="2"/>
  <c r="DB60" i="2"/>
  <c r="CX72" i="2"/>
  <c r="DU22" i="2"/>
  <c r="EB58" i="2"/>
  <c r="CO50" i="2"/>
  <c r="CK21" i="2"/>
  <c r="CX75" i="2"/>
  <c r="CW21" i="2"/>
  <c r="DK47" i="2"/>
  <c r="CI53" i="2"/>
  <c r="DU27" i="2"/>
  <c r="DL53" i="2"/>
  <c r="DA74" i="2"/>
  <c r="DG24" i="2"/>
  <c r="CJ12" i="2"/>
  <c r="CL42" i="2"/>
  <c r="CO11" i="2"/>
  <c r="DF74" i="2"/>
  <c r="DY33" i="2"/>
  <c r="DH74" i="2"/>
  <c r="DK60" i="2"/>
  <c r="DD45" i="2"/>
  <c r="DE42" i="2"/>
  <c r="DN25" i="2"/>
  <c r="CU72" i="2"/>
  <c r="DQ43" i="2"/>
  <c r="DH53" i="2"/>
  <c r="CO46" i="2"/>
  <c r="DT54" i="2"/>
  <c r="DU42" i="2"/>
  <c r="CR11" i="2"/>
  <c r="DE53" i="2"/>
  <c r="DW42" i="2"/>
  <c r="DD16" i="2"/>
  <c r="DA71" i="2"/>
  <c r="CK26" i="2"/>
  <c r="CI204" i="2"/>
  <c r="EA47" i="2"/>
  <c r="CZ61" i="2"/>
  <c r="CN25" i="2"/>
  <c r="CR50" i="2"/>
  <c r="DK61" i="2"/>
  <c r="DJ51" i="2"/>
  <c r="DL59" i="2"/>
  <c r="DR15" i="2"/>
  <c r="DR50" i="2"/>
  <c r="CQ29" i="2"/>
  <c r="DO68" i="2"/>
  <c r="CR66" i="2"/>
  <c r="CP72" i="2"/>
  <c r="DD32" i="2"/>
  <c r="CX12" i="2"/>
  <c r="DS74" i="2"/>
  <c r="CM63" i="2"/>
  <c r="DE58" i="2"/>
  <c r="CU62" i="2"/>
  <c r="DX59" i="2"/>
  <c r="CV52" i="2"/>
  <c r="CI50" i="2"/>
  <c r="DC59" i="2"/>
  <c r="CO10" i="2"/>
  <c r="DA28" i="2"/>
  <c r="CY59" i="2"/>
  <c r="DZ61" i="2"/>
  <c r="CJ60" i="2"/>
  <c r="CH15" i="2"/>
  <c r="CM58" i="2"/>
  <c r="DI50" i="2"/>
  <c r="CM29" i="2"/>
  <c r="CW15" i="2"/>
  <c r="CI74" i="2"/>
  <c r="DN72" i="2"/>
  <c r="EC26" i="2"/>
  <c r="DW14" i="2"/>
  <c r="DO12" i="2"/>
  <c r="CQ25" i="2"/>
  <c r="DW43" i="2"/>
  <c r="DC14" i="2"/>
  <c r="EC58" i="2"/>
  <c r="DH64" i="2"/>
  <c r="DO22" i="2"/>
  <c r="CN47" i="2"/>
  <c r="CQ62" i="2"/>
  <c r="EA74" i="2"/>
  <c r="CW52" i="2"/>
  <c r="CP68" i="2"/>
  <c r="CL47" i="2"/>
  <c r="CH28" i="2"/>
  <c r="DW44" i="2"/>
  <c r="DR25" i="2"/>
  <c r="DM51" i="2"/>
  <c r="DC45" i="2"/>
  <c r="DN64" i="2"/>
  <c r="EA55" i="2"/>
  <c r="CO73" i="2"/>
  <c r="DK58" i="2"/>
  <c r="EE28" i="2"/>
  <c r="CR54" i="2"/>
  <c r="DC49" i="2"/>
  <c r="DF66" i="2"/>
  <c r="EB63" i="2"/>
  <c r="DQ24" i="2"/>
  <c r="DS32" i="2"/>
  <c r="CZ43" i="2"/>
  <c r="EE63" i="2"/>
  <c r="EF21" i="2"/>
  <c r="DD54" i="2"/>
  <c r="CP65" i="2"/>
  <c r="DS63" i="2"/>
  <c r="DR73" i="2"/>
  <c r="CJ204" i="2"/>
  <c r="EC21" i="2"/>
  <c r="CM73" i="2"/>
  <c r="DR22" i="2"/>
  <c r="DY74" i="2"/>
  <c r="EC59" i="2"/>
  <c r="DF71" i="2"/>
  <c r="DX42" i="2"/>
  <c r="DO73" i="2"/>
  <c r="CM34" i="2"/>
  <c r="CS14" i="2"/>
  <c r="DZ33" i="2"/>
  <c r="CN44" i="2"/>
  <c r="DU75" i="2"/>
  <c r="EA71" i="2"/>
  <c r="DL73" i="2"/>
  <c r="DD71" i="2"/>
  <c r="DF26" i="2"/>
  <c r="DH65" i="2"/>
  <c r="DB32" i="2"/>
  <c r="CU54" i="2"/>
  <c r="DM29" i="2"/>
  <c r="CZ12" i="2"/>
  <c r="ED73" i="2"/>
  <c r="CQ204" i="2"/>
  <c r="DX27" i="2"/>
  <c r="DA63" i="2"/>
  <c r="DM55" i="2"/>
  <c r="DT28" i="2"/>
  <c r="ED60" i="2"/>
  <c r="DF49" i="2"/>
  <c r="CS28" i="2"/>
  <c r="DM26" i="2"/>
  <c r="DC25" i="2"/>
  <c r="CW33" i="2"/>
  <c r="DL50" i="2"/>
  <c r="CM21" i="2"/>
  <c r="EB44" i="2"/>
  <c r="EE47" i="2"/>
  <c r="DK51" i="2"/>
  <c r="EC64" i="2"/>
  <c r="DM64" i="2"/>
  <c r="DH41" i="2"/>
  <c r="DY58" i="2"/>
  <c r="CP52" i="2"/>
  <c r="DM18" i="2"/>
  <c r="DM62" i="2"/>
  <c r="DN33" i="2"/>
  <c r="DO50" i="2"/>
  <c r="CS76" i="2"/>
  <c r="EF15" i="2"/>
  <c r="DK24" i="2"/>
  <c r="ED41" i="2"/>
  <c r="EC11" i="2"/>
  <c r="CH42" i="2"/>
  <c r="DI21" i="2"/>
  <c r="CU27" i="2"/>
  <c r="CM59" i="2"/>
  <c r="DT55" i="2"/>
  <c r="CX63" i="2"/>
  <c r="CS64" i="2"/>
  <c r="DU16" i="2"/>
  <c r="DX204" i="2"/>
  <c r="DN63" i="2"/>
  <c r="CU22" i="2"/>
  <c r="DC10" i="2"/>
  <c r="EC16" i="2"/>
  <c r="CX74" i="2"/>
  <c r="DD62" i="2"/>
  <c r="CS58" i="2"/>
  <c r="EF71" i="2"/>
  <c r="DT26" i="2"/>
  <c r="DN42" i="2"/>
  <c r="CV42" i="2"/>
  <c r="DB44" i="2"/>
  <c r="DZ68" i="2"/>
  <c r="CN11" i="2"/>
  <c r="DK41" i="2"/>
  <c r="CW14" i="2"/>
  <c r="DT61" i="2"/>
  <c r="CZ54" i="2"/>
  <c r="EC50" i="2"/>
  <c r="DG22" i="2"/>
  <c r="CQ47" i="2"/>
  <c r="EE42" i="2"/>
  <c r="DB41" i="2"/>
  <c r="EF48" i="2"/>
  <c r="CN66" i="2"/>
  <c r="DW34" i="2"/>
  <c r="CY63" i="2"/>
  <c r="EB203" i="2"/>
  <c r="CI16" i="2"/>
  <c r="DX68" i="2"/>
  <c r="EA204" i="2"/>
  <c r="DS43" i="2"/>
  <c r="CY15" i="2"/>
  <c r="DU73" i="2"/>
  <c r="CY34" i="2"/>
  <c r="CU63" i="2"/>
  <c r="CU47" i="2"/>
  <c r="DE28" i="2"/>
  <c r="EB75" i="2"/>
  <c r="DS28" i="2"/>
  <c r="EA27" i="2"/>
  <c r="CX60" i="2"/>
  <c r="CW49" i="2"/>
  <c r="DJ21" i="2"/>
  <c r="CX55" i="2"/>
  <c r="DX75" i="2"/>
  <c r="DC44" i="2"/>
  <c r="CU45" i="2"/>
  <c r="DC34" i="2"/>
  <c r="CW12" i="2"/>
  <c r="CX65" i="2"/>
  <c r="DT45" i="2"/>
  <c r="DD28" i="2"/>
  <c r="CP49" i="2"/>
  <c r="CJ64" i="2"/>
  <c r="CQ14" i="2"/>
  <c r="DB33" i="2"/>
  <c r="DL29" i="2"/>
  <c r="DW54" i="2"/>
  <c r="EF63" i="2"/>
  <c r="CV25" i="2"/>
  <c r="CQ43" i="2"/>
  <c r="DG41" i="2"/>
  <c r="ED43" i="2"/>
  <c r="CZ63" i="2"/>
  <c r="CS59" i="2"/>
  <c r="DD24" i="2"/>
  <c r="DI63" i="2"/>
  <c r="CH47" i="2"/>
  <c r="CN72" i="2"/>
  <c r="CM72" i="2"/>
  <c r="DG26" i="2"/>
  <c r="CL68" i="2"/>
  <c r="CS32" i="2"/>
  <c r="CY74" i="2"/>
  <c r="EC62" i="2"/>
  <c r="DK28" i="2"/>
  <c r="DS33" i="2"/>
  <c r="CM75" i="2"/>
  <c r="DZ49" i="2"/>
  <c r="EA63" i="2"/>
  <c r="DI47" i="2"/>
  <c r="DW66" i="2"/>
  <c r="CK41" i="2"/>
  <c r="CO43" i="2"/>
  <c r="CT61" i="2"/>
  <c r="DC41" i="2"/>
  <c r="DX49" i="2"/>
  <c r="CV63" i="2"/>
  <c r="CU49" i="2"/>
  <c r="CJ58" i="2"/>
  <c r="DK18" i="2"/>
  <c r="DO63" i="2"/>
  <c r="DW29" i="2"/>
  <c r="DF45" i="2"/>
  <c r="DS50" i="2"/>
  <c r="DR12" i="2"/>
  <c r="DT18" i="2"/>
  <c r="DN11" i="2"/>
  <c r="CU15" i="2"/>
  <c r="DA62" i="2"/>
  <c r="DU71" i="2"/>
  <c r="DM50" i="2"/>
  <c r="DP47" i="2"/>
  <c r="CS65" i="2"/>
  <c r="CK48" i="2"/>
  <c r="EE76" i="2"/>
  <c r="DZ24" i="2"/>
  <c r="DX58" i="2"/>
  <c r="DQ32" i="2"/>
  <c r="CH68" i="2"/>
  <c r="CH72" i="2"/>
  <c r="DM32" i="2"/>
  <c r="CN10" i="2"/>
  <c r="CN33" i="2"/>
  <c r="DO72" i="2"/>
  <c r="CL25" i="2"/>
  <c r="DJ15" i="2"/>
  <c r="CX28" i="2"/>
  <c r="EE66" i="2"/>
  <c r="EA29" i="2"/>
  <c r="CT76" i="2"/>
  <c r="CS33" i="2"/>
  <c r="DO28" i="2"/>
  <c r="DN65" i="2"/>
  <c r="CT50" i="2"/>
  <c r="DF33" i="2"/>
  <c r="DO71" i="2"/>
  <c r="DY55" i="2"/>
  <c r="DB46" i="2"/>
  <c r="DN46" i="2"/>
  <c r="DV28" i="2"/>
  <c r="DB22" i="2"/>
  <c r="EC12" i="2"/>
  <c r="EB60" i="2"/>
  <c r="DJ55" i="2"/>
  <c r="DT65" i="2"/>
  <c r="CH50" i="2"/>
  <c r="CR12" i="2"/>
  <c r="DI59" i="2"/>
  <c r="CR10" i="2"/>
  <c r="DO74" i="2"/>
  <c r="DT34" i="2"/>
  <c r="DY28" i="2"/>
  <c r="DY11" i="2"/>
  <c r="DD73" i="2"/>
  <c r="ED24" i="2"/>
  <c r="CU43" i="2"/>
  <c r="DR48" i="2"/>
  <c r="DU63" i="2"/>
  <c r="DL15" i="2"/>
  <c r="DZ58" i="2"/>
  <c r="DZ34" i="2"/>
  <c r="DS53" i="2"/>
  <c r="EF72" i="2"/>
  <c r="DH25" i="2"/>
  <c r="CV45" i="2"/>
  <c r="CM25" i="2"/>
  <c r="CY43" i="2"/>
  <c r="CT21" i="2"/>
  <c r="CP32" i="2"/>
  <c r="DR74" i="2"/>
  <c r="CM47" i="2"/>
  <c r="CW64" i="2"/>
  <c r="CI68" i="2"/>
  <c r="CT27" i="2"/>
  <c r="CI10" i="2"/>
  <c r="DE66" i="2"/>
  <c r="CQ75" i="2"/>
  <c r="CL61" i="2"/>
  <c r="CH14" i="2"/>
  <c r="EB34" i="2"/>
  <c r="CN53" i="2"/>
  <c r="DC75" i="2"/>
  <c r="DM71" i="2"/>
  <c r="EC74" i="2"/>
  <c r="DX24" i="2"/>
  <c r="DX65" i="2"/>
  <c r="ED32" i="2"/>
  <c r="DP32" i="2"/>
  <c r="DT53" i="2"/>
  <c r="DR21" i="2"/>
  <c r="CU18" i="2"/>
  <c r="DW74" i="2"/>
  <c r="CI71" i="2"/>
  <c r="DZ16" i="2"/>
  <c r="EF24" i="2"/>
  <c r="CY58" i="2"/>
  <c r="DK15" i="2"/>
  <c r="CR73" i="2"/>
  <c r="ED63" i="2"/>
  <c r="CR26" i="2"/>
  <c r="DA47" i="2"/>
  <c r="CQ27" i="2"/>
  <c r="EF42" i="2"/>
  <c r="DW64" i="2"/>
  <c r="DT42" i="2"/>
  <c r="CW50" i="2"/>
  <c r="CZ74" i="2"/>
  <c r="DO61" i="2"/>
  <c r="DM14" i="2"/>
  <c r="CV10" i="2"/>
  <c r="CV68" i="2"/>
  <c r="DC63" i="2"/>
  <c r="DW68" i="2"/>
  <c r="EA43" i="2"/>
  <c r="DK25" i="2"/>
  <c r="DE55" i="2"/>
  <c r="DZ27" i="2"/>
  <c r="DP60" i="2"/>
  <c r="EE16" i="2"/>
  <c r="CQ45" i="2"/>
  <c r="DD47" i="2"/>
  <c r="EA21" i="2"/>
  <c r="CP66" i="2"/>
  <c r="CK44" i="2"/>
  <c r="EA28" i="2"/>
  <c r="DE71" i="2"/>
  <c r="EC52" i="2"/>
  <c r="DR68" i="2"/>
  <c r="DJ76" i="2"/>
  <c r="CQ58" i="2"/>
  <c r="CX61" i="2"/>
  <c r="DY53" i="2"/>
  <c r="DQ65" i="2"/>
  <c r="DK34" i="2"/>
  <c r="CO54" i="2"/>
  <c r="DA52" i="2"/>
  <c r="CJ74" i="2"/>
  <c r="DK43" i="2"/>
  <c r="CX59" i="2"/>
  <c r="DU62" i="2"/>
  <c r="EA32" i="2"/>
  <c r="DB62" i="2"/>
  <c r="EA60" i="2"/>
  <c r="CZ46" i="2"/>
  <c r="CS10" i="2"/>
  <c r="DN55" i="2"/>
  <c r="EB51" i="2"/>
  <c r="DW12" i="2"/>
  <c r="DJ54" i="2"/>
  <c r="DX28" i="2"/>
  <c r="DI11" i="2"/>
  <c r="CS27" i="2"/>
  <c r="DU25" i="2"/>
  <c r="DI66" i="2"/>
  <c r="CQ44" i="2"/>
  <c r="EB52" i="2"/>
  <c r="DI45" i="2"/>
  <c r="DP26" i="2"/>
  <c r="DR59" i="2"/>
  <c r="CX50" i="2"/>
  <c r="DP34" i="2"/>
  <c r="CP34" i="2"/>
  <c r="EC45" i="2"/>
  <c r="CX49" i="2"/>
  <c r="DZ74" i="2"/>
  <c r="DN24" i="2"/>
  <c r="DF46" i="2"/>
  <c r="DG44" i="2"/>
  <c r="DH22" i="2"/>
  <c r="DU24" i="2"/>
  <c r="EB28" i="2"/>
  <c r="DX62" i="2"/>
  <c r="EC33" i="2"/>
  <c r="EC18" i="2"/>
  <c r="CO53" i="2"/>
  <c r="DX76" i="2"/>
  <c r="DE34" i="2"/>
  <c r="CP14" i="2"/>
  <c r="CW61" i="2"/>
  <c r="DL47" i="2"/>
  <c r="DG64" i="2"/>
  <c r="CK32" i="2"/>
  <c r="CL53" i="2"/>
  <c r="EB74" i="2"/>
  <c r="DF42" i="2"/>
  <c r="EB71" i="2"/>
  <c r="DJ64" i="2"/>
  <c r="EB62" i="2"/>
  <c r="CT11" i="2"/>
  <c r="EF59" i="2"/>
  <c r="CX25" i="2"/>
  <c r="DF76" i="2"/>
  <c r="CO16" i="2"/>
  <c r="DA42" i="2"/>
  <c r="CV62" i="2"/>
  <c r="CU60" i="2"/>
  <c r="CY11" i="2"/>
  <c r="CZ32" i="2"/>
  <c r="CT16" i="2"/>
  <c r="CV48" i="2"/>
  <c r="DB21" i="2"/>
  <c r="DN73" i="2"/>
  <c r="EB48" i="2"/>
  <c r="CO25" i="2"/>
  <c r="CR34" i="2"/>
  <c r="DL22" i="2"/>
  <c r="DS26" i="2"/>
  <c r="DV76" i="2"/>
  <c r="EE14" i="2"/>
  <c r="DA75" i="2"/>
  <c r="DG61" i="2"/>
  <c r="DE51" i="2"/>
  <c r="DD53" i="2"/>
  <c r="CZ15" i="2"/>
  <c r="EA11" i="2"/>
  <c r="DX41" i="2"/>
  <c r="DG73" i="2"/>
  <c r="CY62" i="2"/>
  <c r="CM27" i="2"/>
  <c r="CS43" i="2"/>
  <c r="CJ71" i="2"/>
  <c r="DJ59" i="2"/>
  <c r="ED64" i="2"/>
  <c r="ED55" i="2"/>
  <c r="DH11" i="2"/>
  <c r="DM22" i="2"/>
  <c r="EA26" i="2"/>
  <c r="DN41" i="2"/>
  <c r="DL18" i="2"/>
  <c r="CS29" i="2"/>
  <c r="CO75" i="2"/>
  <c r="DG32" i="2"/>
  <c r="DG68" i="2"/>
  <c r="DZ62" i="2"/>
  <c r="CL33" i="2"/>
  <c r="DS52" i="2"/>
  <c r="EA25" i="2"/>
  <c r="DR61" i="2"/>
  <c r="EF28" i="2"/>
  <c r="ED72" i="2"/>
  <c r="CM33" i="2"/>
  <c r="DV65" i="2"/>
  <c r="DR24" i="2"/>
  <c r="DZ11" i="2"/>
  <c r="DC53" i="2"/>
  <c r="CY26" i="2"/>
  <c r="DD22" i="2"/>
  <c r="CJ14" i="2"/>
  <c r="DC21" i="2"/>
  <c r="CT75" i="2"/>
  <c r="CP51" i="2"/>
  <c r="EA65" i="2"/>
  <c r="CW54" i="2"/>
  <c r="DQ45" i="2"/>
  <c r="EC55" i="2"/>
  <c r="EA22" i="2"/>
  <c r="DU34" i="2"/>
  <c r="CT63" i="2"/>
  <c r="DO26" i="2"/>
  <c r="DB29" i="2"/>
  <c r="CM60" i="2"/>
  <c r="EE24" i="2"/>
  <c r="DK55" i="2"/>
  <c r="DU48" i="2"/>
  <c r="DJ58" i="2"/>
  <c r="DT24" i="2"/>
  <c r="CZ42" i="2"/>
  <c r="CY51" i="2"/>
  <c r="CN21" i="2"/>
  <c r="CY24" i="2"/>
  <c r="DA46" i="2"/>
  <c r="CR42" i="2"/>
  <c r="DK59" i="2"/>
  <c r="CM42" i="2"/>
  <c r="DT15" i="2"/>
  <c r="DE68" i="2"/>
  <c r="CX16" i="2"/>
  <c r="EE53" i="2"/>
  <c r="DS61" i="2"/>
  <c r="EB43" i="2"/>
  <c r="DV11" i="2"/>
  <c r="EF43" i="2"/>
  <c r="DI43" i="2"/>
  <c r="ED11" i="2"/>
  <c r="CV71" i="2"/>
  <c r="CJ55" i="2"/>
  <c r="DZ25" i="2"/>
  <c r="CV50" i="2"/>
  <c r="DD68" i="2"/>
  <c r="DO65" i="2"/>
  <c r="DE12" i="2"/>
  <c r="CH65" i="2"/>
  <c r="DX45" i="2"/>
  <c r="DE46" i="2"/>
  <c r="DO55" i="2"/>
  <c r="CX51" i="2"/>
  <c r="CN29" i="2"/>
  <c r="DW75" i="2"/>
  <c r="EF68" i="2"/>
  <c r="EB76" i="2"/>
  <c r="CS42" i="2"/>
  <c r="DI54" i="2"/>
  <c r="CX41" i="2"/>
  <c r="DM47" i="2"/>
  <c r="DJ68" i="2"/>
  <c r="EC24" i="2"/>
  <c r="DY21" i="2"/>
  <c r="DM44" i="2"/>
  <c r="CP21" i="2"/>
  <c r="CX58" i="2"/>
  <c r="DY44" i="2"/>
  <c r="CH33" i="2"/>
  <c r="EC76" i="2"/>
  <c r="CN60" i="2"/>
  <c r="DD42" i="2"/>
  <c r="CR64" i="2"/>
  <c r="DB43" i="2"/>
  <c r="DD26" i="2"/>
  <c r="CM12" i="2"/>
  <c r="DX55" i="2"/>
  <c r="DS41" i="2"/>
  <c r="EE60" i="2"/>
  <c r="CL18" i="2"/>
  <c r="DB59" i="2"/>
  <c r="CQ22" i="2"/>
  <c r="CS66" i="2"/>
  <c r="DJ32" i="2"/>
  <c r="CP10" i="2"/>
  <c r="DH48" i="2"/>
  <c r="CP59" i="2"/>
  <c r="CL49" i="2"/>
  <c r="CL16" i="2"/>
  <c r="DA73" i="2"/>
  <c r="DM10" i="2"/>
  <c r="CI25" i="2"/>
  <c r="DV63" i="2"/>
  <c r="CO62" i="2"/>
  <c r="DR29" i="2"/>
  <c r="CL50" i="2"/>
  <c r="DO49" i="2"/>
  <c r="EC46" i="2"/>
  <c r="CK49" i="2"/>
  <c r="DX21" i="2"/>
  <c r="DZ73" i="2"/>
  <c r="CW59" i="2"/>
  <c r="DT16" i="2"/>
  <c r="CZ59" i="2"/>
  <c r="DB51" i="2"/>
  <c r="CM65" i="2"/>
  <c r="DR18" i="2"/>
  <c r="EA53" i="2"/>
  <c r="DQ42" i="2"/>
  <c r="EB55" i="2"/>
  <c r="DL10" i="2"/>
  <c r="CQ48" i="2"/>
  <c r="DD41" i="2"/>
  <c r="ED203" i="2"/>
  <c r="CW34" i="2"/>
  <c r="EB64" i="2"/>
  <c r="DR51" i="2"/>
  <c r="EB66" i="2"/>
  <c r="CQ21" i="2"/>
  <c r="DV75" i="2"/>
  <c r="DS73" i="2"/>
  <c r="EC73" i="2"/>
  <c r="CP41" i="2"/>
  <c r="DE26" i="2"/>
  <c r="DO47" i="2"/>
  <c r="DD48" i="2"/>
  <c r="ED71" i="2"/>
  <c r="CO71" i="2"/>
  <c r="DR44" i="2"/>
  <c r="CR33" i="2"/>
  <c r="EA24" i="2"/>
  <c r="DR33" i="2"/>
  <c r="DE22" i="2"/>
  <c r="DY52" i="2"/>
  <c r="DS66" i="2"/>
  <c r="DW26" i="2"/>
  <c r="CL59" i="2"/>
  <c r="DW73" i="2"/>
  <c r="DI65" i="2"/>
  <c r="ED59" i="2"/>
  <c r="DD34" i="2"/>
  <c r="CR24" i="2"/>
  <c r="DZ51" i="2"/>
  <c r="EA14" i="2"/>
  <c r="DW72" i="2"/>
  <c r="DD49" i="2"/>
  <c r="DN16" i="2"/>
  <c r="CY76" i="2"/>
  <c r="DL25" i="2"/>
  <c r="EE68" i="2"/>
  <c r="DS24" i="2"/>
  <c r="DJ45" i="2"/>
  <c r="DU59" i="2"/>
  <c r="DL58" i="2"/>
  <c r="EC75" i="2"/>
  <c r="CQ68" i="2"/>
  <c r="DZ10" i="2"/>
  <c r="EA52" i="2"/>
  <c r="DK22" i="2"/>
  <c r="EB14" i="2"/>
  <c r="DO33" i="2"/>
  <c r="DM53" i="2"/>
  <c r="CZ14" i="2"/>
  <c r="DX74" i="2"/>
  <c r="DF61" i="2"/>
  <c r="DQ21" i="2"/>
  <c r="DV68" i="2"/>
  <c r="DH66" i="2"/>
  <c r="DF44" i="2"/>
  <c r="CV12" i="2"/>
  <c r="DC48" i="2"/>
  <c r="CV75" i="2"/>
  <c r="EB54" i="2"/>
  <c r="DS27" i="2"/>
  <c r="DX71" i="2"/>
  <c r="CT62" i="2"/>
  <c r="DL24" i="2"/>
  <c r="EF76" i="2"/>
  <c r="CV15" i="2"/>
  <c r="ED54" i="2"/>
  <c r="ED74" i="2"/>
  <c r="DO62" i="2"/>
  <c r="DT71" i="2"/>
  <c r="CI42" i="2"/>
  <c r="DY50" i="2"/>
  <c r="CQ42" i="2"/>
  <c r="DH76" i="2"/>
  <c r="CH71" i="2"/>
  <c r="CI48" i="2"/>
  <c r="CV55" i="2"/>
  <c r="DG42" i="2"/>
  <c r="DZ43" i="2"/>
  <c r="CL46" i="2"/>
  <c r="CN58" i="2"/>
  <c r="CY72" i="2"/>
  <c r="DO15" i="2"/>
  <c r="DC42" i="2"/>
  <c r="DW60" i="2"/>
  <c r="DE75" i="2"/>
  <c r="DS46" i="2"/>
  <c r="CZ10" i="2"/>
  <c r="DH10" i="2"/>
  <c r="DP66" i="2"/>
  <c r="CJ33" i="2"/>
  <c r="CS12" i="2"/>
  <c r="DU47" i="2"/>
  <c r="EE33" i="2"/>
  <c r="CQ18" i="2"/>
  <c r="CL204" i="2"/>
  <c r="DD75" i="2"/>
  <c r="CI58" i="2"/>
  <c r="DW50" i="2"/>
  <c r="CZ49" i="2"/>
  <c r="DZ15" i="2"/>
  <c r="DF63" i="2"/>
  <c r="CY73" i="2"/>
  <c r="DV27" i="2"/>
  <c r="CW24" i="2"/>
  <c r="CI12" i="2"/>
  <c r="DP49" i="2"/>
  <c r="DH61" i="2"/>
  <c r="EC61" i="2"/>
  <c r="DF21" i="2"/>
  <c r="CJ42" i="2"/>
  <c r="DP24" i="2"/>
  <c r="CU14" i="2"/>
  <c r="EE45" i="2"/>
  <c r="DK42" i="2"/>
  <c r="CW62" i="2"/>
  <c r="EF45" i="2"/>
  <c r="DS12" i="2"/>
  <c r="CO18" i="2"/>
  <c r="EC49" i="2"/>
  <c r="CK68" i="2"/>
  <c r="DH62" i="2"/>
  <c r="DB73" i="2"/>
  <c r="DG12" i="2"/>
  <c r="CP76" i="2"/>
  <c r="DT76" i="2"/>
  <c r="DG72" i="2"/>
  <c r="ED10" i="2"/>
  <c r="CI64" i="2"/>
  <c r="DS75" i="2"/>
  <c r="DH52" i="2"/>
  <c r="DW25" i="2"/>
  <c r="EA59" i="2"/>
  <c r="EF204" i="2"/>
  <c r="DZ18" i="2"/>
  <c r="DH42" i="2"/>
  <c r="CM55" i="2"/>
  <c r="CY44" i="2"/>
  <c r="DI76" i="2"/>
  <c r="CJ59" i="2"/>
  <c r="EB18" i="2"/>
  <c r="EE27" i="2"/>
  <c r="DW11" i="2"/>
  <c r="DH68" i="2"/>
  <c r="CK64" i="2"/>
  <c r="DZ203" i="2"/>
  <c r="EB59" i="2"/>
  <c r="DS72" i="2"/>
  <c r="DK11" i="2"/>
  <c r="EF75" i="2"/>
  <c r="CX52" i="2"/>
  <c r="DF75" i="2"/>
  <c r="DS10" i="2"/>
  <c r="CK33" i="2"/>
  <c r="DT64" i="2"/>
  <c r="CT73" i="2"/>
  <c r="EB10" i="2"/>
  <c r="DO14" i="2"/>
  <c r="CT66" i="2"/>
  <c r="DG74" i="2"/>
  <c r="CM64" i="2"/>
  <c r="DX18" i="2"/>
  <c r="CR58" i="2"/>
  <c r="EF54" i="2"/>
  <c r="DU51" i="2"/>
  <c r="CL27" i="2"/>
  <c r="CT49" i="2"/>
  <c r="CV14" i="2"/>
  <c r="DW63" i="2"/>
  <c r="CV47" i="2"/>
  <c r="DU46" i="2"/>
  <c r="DA18" i="2"/>
  <c r="DR32" i="2"/>
  <c r="DC55" i="2"/>
  <c r="DE64" i="2"/>
  <c r="EE25" i="2"/>
  <c r="DA51" i="2"/>
  <c r="DO75" i="2"/>
  <c r="DE14" i="2"/>
  <c r="CJ25" i="2"/>
  <c r="DN12" i="2"/>
  <c r="CK34" i="2"/>
  <c r="DZ45" i="2"/>
  <c r="DV46" i="2"/>
  <c r="DT33" i="2"/>
  <c r="CI75" i="2"/>
  <c r="CK16" i="2"/>
  <c r="DS42" i="2"/>
  <c r="DJ61" i="2"/>
  <c r="DB53" i="2"/>
  <c r="DC26" i="2"/>
  <c r="DC18" i="2"/>
  <c r="CW29" i="2"/>
  <c r="DR43" i="2"/>
  <c r="CY48" i="2"/>
  <c r="ED25" i="2"/>
  <c r="CP74" i="2"/>
  <c r="EC53" i="2"/>
  <c r="DC52" i="2"/>
  <c r="CH24" i="2"/>
  <c r="CV26" i="2"/>
  <c r="CX42" i="2"/>
  <c r="ED65" i="2"/>
  <c r="CH204" i="2"/>
  <c r="DP48" i="2"/>
  <c r="DL41" i="2"/>
  <c r="CL32" i="2"/>
  <c r="DJ18" i="2"/>
  <c r="CL28" i="2"/>
  <c r="EB46" i="2"/>
  <c r="DZ71" i="2"/>
  <c r="CH75" i="2"/>
  <c r="DQ61" i="2"/>
  <c r="ED53" i="2"/>
  <c r="CP15" i="2"/>
  <c r="DT75" i="2"/>
  <c r="DU14" i="2"/>
  <c r="DG71" i="2"/>
  <c r="EA10" i="2"/>
  <c r="CX24" i="2"/>
  <c r="DV25" i="2"/>
  <c r="EF32" i="2"/>
  <c r="CM32" i="2"/>
  <c r="CM22" i="2"/>
  <c r="DJ49" i="2"/>
  <c r="DP63" i="2"/>
  <c r="CI27" i="2"/>
  <c r="CT12" i="2"/>
  <c r="DP29" i="2"/>
  <c r="CJ46" i="2"/>
  <c r="EE22" i="2"/>
  <c r="CU44" i="2"/>
  <c r="DX46" i="2"/>
  <c r="DJ14" i="2"/>
  <c r="CU66" i="2"/>
  <c r="CH54" i="2"/>
  <c r="CL48" i="2"/>
  <c r="DG66" i="2"/>
  <c r="CO66" i="2"/>
  <c r="DM66" i="2"/>
  <c r="CX54" i="2"/>
  <c r="ED46" i="2"/>
  <c r="DO24" i="2"/>
  <c r="CT47" i="2"/>
  <c r="CL63" i="2"/>
  <c r="CI73" i="2"/>
  <c r="DJ11" i="2"/>
  <c r="CJ28" i="2"/>
  <c r="CL73" i="2"/>
  <c r="CZ73" i="2"/>
  <c r="CH26" i="2"/>
  <c r="DY60" i="2"/>
  <c r="CK59" i="2"/>
  <c r="DX11" i="2"/>
  <c r="DV16" i="2"/>
  <c r="DS58" i="2"/>
  <c r="DP43" i="2"/>
  <c r="CO44" i="2"/>
  <c r="DS49" i="2"/>
  <c r="DQ66" i="2"/>
  <c r="DZ72" i="2"/>
  <c r="CK51" i="2"/>
  <c r="CJ51" i="2"/>
  <c r="DH32" i="2"/>
  <c r="CY55" i="2"/>
  <c r="CR203" i="2"/>
  <c r="CI46" i="2"/>
  <c r="DV49" i="2"/>
  <c r="CI45" i="2"/>
  <c r="DK53" i="2"/>
  <c r="EB47" i="2"/>
  <c r="DA12" i="2"/>
  <c r="DV45" i="2"/>
  <c r="DO16" i="2"/>
  <c r="DE65" i="2"/>
  <c r="CS52" i="2"/>
  <c r="DS71" i="2"/>
  <c r="CW60" i="2"/>
  <c r="DP73" i="2"/>
  <c r="DL46" i="2"/>
  <c r="DX34" i="2"/>
  <c r="DZ53" i="2"/>
  <c r="DH29" i="2"/>
  <c r="DY64" i="2"/>
  <c r="DF58" i="2"/>
  <c r="DE43" i="2"/>
  <c r="ED33" i="2"/>
  <c r="CP26" i="2"/>
  <c r="CT53" i="2"/>
  <c r="DM28" i="2"/>
  <c r="DQ26" i="2"/>
  <c r="DQ15" i="2"/>
  <c r="CR29" i="2"/>
  <c r="DT11" i="2"/>
  <c r="DH55" i="2"/>
  <c r="CI76" i="2"/>
  <c r="CT18" i="2"/>
  <c r="DO41" i="2"/>
  <c r="DO76" i="2"/>
  <c r="DN66" i="2"/>
  <c r="DX48" i="2"/>
  <c r="DP59" i="2"/>
  <c r="DT27" i="2"/>
  <c r="EF61" i="2"/>
  <c r="CS68" i="2"/>
  <c r="DV71" i="2"/>
  <c r="DY61" i="2"/>
  <c r="DS14" i="2"/>
  <c r="DF18" i="2"/>
  <c r="EB50" i="2"/>
  <c r="CS24" i="2"/>
  <c r="CJ203" i="2"/>
  <c r="CT32" i="2"/>
  <c r="CL15" i="2"/>
  <c r="DU53" i="2"/>
  <c r="CX34" i="2"/>
  <c r="CW42" i="2"/>
  <c r="DL12" i="2"/>
  <c r="DU41" i="2"/>
  <c r="CW71" i="2"/>
  <c r="CN24" i="2"/>
  <c r="DK46" i="2"/>
  <c r="DG21" i="2"/>
  <c r="DN58" i="2"/>
  <c r="CU73" i="2"/>
  <c r="EB16" i="2"/>
  <c r="CS50" i="2"/>
  <c r="DH51" i="2"/>
  <c r="DA45" i="2"/>
  <c r="DW76" i="2"/>
  <c r="DN53" i="2"/>
  <c r="DT60" i="2"/>
  <c r="EC48" i="2"/>
  <c r="DF43" i="2"/>
  <c r="DF47" i="2"/>
  <c r="DB15" i="2"/>
  <c r="CV54" i="2"/>
  <c r="DK73" i="2"/>
  <c r="CU41" i="2"/>
  <c r="DC65" i="2"/>
  <c r="CI65" i="2"/>
  <c r="EE11" i="2"/>
  <c r="DY16" i="2"/>
  <c r="DV59" i="2"/>
  <c r="CM14" i="2"/>
  <c r="CI15" i="2"/>
  <c r="DI61" i="2"/>
  <c r="CY47" i="2"/>
  <c r="CW51" i="2"/>
  <c r="CS16" i="2"/>
  <c r="EF11" i="2"/>
  <c r="EF10" i="2"/>
  <c r="CN71" i="2"/>
  <c r="CS41" i="2"/>
  <c r="DW47" i="2"/>
  <c r="DY49" i="2"/>
  <c r="CI21" i="2"/>
  <c r="CW45" i="2"/>
  <c r="CV27" i="2"/>
  <c r="DA33" i="2"/>
  <c r="DG60" i="2"/>
  <c r="DB76" i="2"/>
  <c r="DX44" i="2"/>
  <c r="DJ63" i="2"/>
  <c r="CR59" i="2"/>
  <c r="EC44" i="2"/>
  <c r="CK60" i="2"/>
  <c r="CJ61" i="2"/>
  <c r="ED18" i="2"/>
  <c r="CY25" i="2"/>
  <c r="CL26" i="2"/>
  <c r="CM54" i="2"/>
  <c r="DA72" i="2"/>
  <c r="CS45" i="2"/>
  <c r="CN61" i="2"/>
  <c r="CV73" i="2"/>
  <c r="EF12" i="2"/>
  <c r="CQ63" i="2"/>
  <c r="DJ42" i="2"/>
  <c r="DI68" i="2"/>
  <c r="CX32" i="2"/>
  <c r="CW16" i="2"/>
  <c r="CZ27" i="2"/>
  <c r="DK64" i="2"/>
  <c r="DY27" i="2"/>
  <c r="DN32" i="2"/>
  <c r="EB33" i="2"/>
  <c r="CU65" i="2"/>
  <c r="DR27" i="2"/>
  <c r="DW48" i="2"/>
  <c r="DJ44" i="2"/>
  <c r="CK76" i="2"/>
  <c r="DR45" i="2"/>
  <c r="DM33" i="2"/>
  <c r="DI25" i="2"/>
  <c r="CM18" i="2"/>
  <c r="DL26" i="2"/>
  <c r="CN74" i="2"/>
  <c r="DI48" i="2"/>
  <c r="DB52" i="2"/>
  <c r="DM58" i="2"/>
  <c r="DP71" i="2"/>
  <c r="CT45" i="2"/>
  <c r="DU61" i="2"/>
  <c r="DP45" i="2"/>
  <c r="CU64" i="2"/>
  <c r="DT68" i="2"/>
  <c r="DO18" i="2"/>
  <c r="CP62" i="2"/>
  <c r="CL54" i="2"/>
  <c r="DY29" i="2"/>
  <c r="EF26" i="2"/>
  <c r="EF74" i="2"/>
  <c r="DI15" i="2"/>
  <c r="DB49" i="2"/>
  <c r="DP14" i="2"/>
  <c r="DQ52" i="2"/>
  <c r="CZ47" i="2"/>
  <c r="CW27" i="2"/>
  <c r="DH46" i="2"/>
  <c r="DS11" i="2"/>
  <c r="CK204" i="2"/>
  <c r="CN34" i="2"/>
  <c r="DK52" i="2"/>
  <c r="DV33" i="2"/>
  <c r="DO34" i="2"/>
  <c r="CT33" i="2"/>
  <c r="DV43" i="2"/>
  <c r="DK62" i="2"/>
  <c r="CL34" i="2"/>
  <c r="ED44" i="2"/>
  <c r="CY29" i="2"/>
  <c r="DI73" i="2"/>
  <c r="DN22" i="2"/>
  <c r="DY15" i="2"/>
  <c r="CU48" i="2"/>
  <c r="CV76" i="2"/>
  <c r="CL75" i="2"/>
  <c r="CO42" i="2"/>
  <c r="EF25" i="2"/>
  <c r="EE52" i="2"/>
  <c r="DB75" i="2"/>
  <c r="CU28" i="2"/>
  <c r="DX51" i="2"/>
  <c r="CV18" i="2"/>
  <c r="CH203" i="2"/>
  <c r="DA60" i="2"/>
  <c r="DJ41" i="2"/>
  <c r="CR204" i="2"/>
  <c r="DD44" i="2"/>
  <c r="DG63" i="2"/>
  <c r="DX72" i="2"/>
  <c r="DR52" i="2"/>
  <c r="DP18" i="2"/>
  <c r="CQ51" i="2"/>
  <c r="DE18" i="2"/>
  <c r="CQ66" i="2"/>
  <c r="DP62" i="2"/>
  <c r="DV50" i="2"/>
  <c r="DR47" i="2"/>
  <c r="DW10" i="2"/>
  <c r="CQ28" i="2"/>
  <c r="CX27" i="2"/>
  <c r="CS63" i="2"/>
  <c r="EF44" i="2"/>
  <c r="EC27" i="2"/>
  <c r="DT12" i="2"/>
  <c r="EB45" i="2"/>
  <c r="DT41" i="2"/>
  <c r="DD15" i="2"/>
  <c r="CS21" i="2"/>
  <c r="CR22" i="2"/>
  <c r="CR62" i="2"/>
  <c r="DV51" i="2"/>
  <c r="DQ49" i="2"/>
  <c r="DC28" i="2"/>
  <c r="CK29" i="2"/>
  <c r="DL45" i="2"/>
  <c r="DJ62" i="2"/>
  <c r="EE34" i="2"/>
  <c r="DG54" i="2"/>
  <c r="CH52" i="2"/>
  <c r="DD51" i="2"/>
  <c r="CL22" i="2"/>
  <c r="CZ29" i="2"/>
  <c r="DT14" i="2"/>
  <c r="CQ71" i="2"/>
  <c r="CN41" i="2"/>
  <c r="DW62" i="2"/>
  <c r="CN42" i="2"/>
  <c r="DC29" i="2"/>
  <c r="CN55" i="2"/>
  <c r="DR58" i="2"/>
  <c r="CQ53" i="2"/>
  <c r="CS51" i="2"/>
  <c r="DQ55" i="2"/>
  <c r="DX53" i="2"/>
  <c r="DE45" i="2"/>
  <c r="DD27" i="2"/>
  <c r="DU18" i="2"/>
  <c r="DZ41" i="2"/>
  <c r="EA16" i="2"/>
  <c r="CS61" i="2"/>
  <c r="CJ52" i="2"/>
  <c r="DA41" i="2"/>
  <c r="CK25" i="2"/>
  <c r="DU45" i="2"/>
  <c r="DS51" i="2"/>
  <c r="DD46" i="2"/>
  <c r="DX26" i="2"/>
  <c r="CW28" i="2"/>
  <c r="EA50" i="2"/>
  <c r="DN44" i="2"/>
  <c r="DW33" i="2"/>
  <c r="EF53" i="2"/>
  <c r="EE75" i="2"/>
  <c r="CQ74" i="2"/>
  <c r="CT44" i="2"/>
  <c r="ED52" i="2"/>
  <c r="DI10" i="2"/>
  <c r="CH49" i="2"/>
  <c r="CN15" i="2"/>
  <c r="DN74" i="2"/>
  <c r="CO48" i="2"/>
  <c r="DK21" i="2"/>
  <c r="CR45" i="2"/>
  <c r="CN12" i="2"/>
  <c r="DA32" i="2"/>
  <c r="CH45" i="2"/>
  <c r="DV32" i="2"/>
  <c r="CM76" i="2"/>
  <c r="DI52" i="2"/>
  <c r="CS203" i="2"/>
  <c r="DB26" i="2"/>
  <c r="DB54" i="2"/>
  <c r="DJ75" i="2"/>
  <c r="CI72" i="2"/>
  <c r="CZ76" i="2"/>
  <c r="DU60" i="2"/>
  <c r="DE47" i="2"/>
  <c r="DS18" i="2"/>
  <c r="CI24" i="2"/>
  <c r="EC41" i="2"/>
  <c r="DZ22" i="2"/>
  <c r="CR60" i="2"/>
  <c r="DS45" i="2"/>
  <c r="DP44" i="2"/>
  <c r="DF29" i="2"/>
  <c r="DV24" i="2"/>
  <c r="DF72" i="2"/>
  <c r="DB71" i="2"/>
  <c r="CI63" i="2"/>
  <c r="DY45" i="2"/>
  <c r="ED66" i="2"/>
  <c r="CL43" i="2"/>
  <c r="DV29" i="2"/>
  <c r="DP25" i="2"/>
  <c r="DG16" i="2"/>
  <c r="DS59" i="2"/>
  <c r="DW61" i="2"/>
  <c r="DH45" i="2"/>
  <c r="DS22" i="2"/>
  <c r="CN73" i="2"/>
  <c r="DN10" i="2"/>
  <c r="DU10" i="2"/>
  <c r="DY62" i="2"/>
  <c r="CV20" i="2" l="1"/>
  <c r="DJ20" i="2"/>
  <c r="DR9" i="2"/>
  <c r="EF40" i="2"/>
  <c r="DT20" i="2"/>
  <c r="EE57" i="2"/>
  <c r="DI9" i="2"/>
  <c r="EE31" i="2"/>
  <c r="CO9" i="2"/>
  <c r="ED9" i="2"/>
  <c r="CK20" i="2"/>
  <c r="DA20" i="2"/>
  <c r="CW9" i="2"/>
  <c r="DS9" i="2"/>
  <c r="DZ9" i="2"/>
  <c r="DM9" i="2"/>
  <c r="CU9" i="2"/>
  <c r="EC70" i="2"/>
  <c r="CI9" i="2"/>
  <c r="EF57" i="2"/>
  <c r="DV9" i="2"/>
  <c r="DQ20" i="2"/>
  <c r="EC31" i="2"/>
  <c r="CI20" i="2"/>
  <c r="ED31" i="2"/>
  <c r="DB9" i="2"/>
  <c r="DQ9" i="2"/>
  <c r="EB40" i="2"/>
  <c r="DP20" i="2"/>
  <c r="ED57" i="2"/>
  <c r="DJ9" i="2"/>
  <c r="ED70" i="2"/>
  <c r="DF9" i="2"/>
  <c r="CL9" i="2"/>
  <c r="EE40" i="2"/>
  <c r="CJ9" i="2"/>
  <c r="CM20" i="2"/>
  <c r="EE70" i="2"/>
  <c r="DH9" i="2"/>
  <c r="CZ9" i="2"/>
  <c r="EB31" i="2"/>
  <c r="EA20" i="2"/>
  <c r="CR20" i="2"/>
  <c r="DN9" i="2"/>
  <c r="CJ20" i="2"/>
  <c r="DX9" i="2"/>
  <c r="CL20" i="2"/>
  <c r="DT9" i="2"/>
  <c r="CW20" i="2"/>
  <c r="DP9" i="2"/>
  <c r="DW9" i="2"/>
  <c r="DE9" i="2"/>
  <c r="CV9" i="2"/>
  <c r="EF70" i="2"/>
  <c r="DZ20" i="2"/>
  <c r="DO20" i="2"/>
  <c r="CH9" i="2"/>
  <c r="CS20" i="2"/>
  <c r="DC20" i="2"/>
  <c r="DE20" i="2"/>
  <c r="CK9" i="2"/>
  <c r="CN9" i="2"/>
  <c r="DM20" i="2"/>
  <c r="CZ20" i="2"/>
  <c r="DC9" i="2"/>
  <c r="EB20" i="2"/>
  <c r="EC40" i="2"/>
  <c r="EF31" i="2"/>
  <c r="DL20" i="2"/>
  <c r="CY9" i="2"/>
  <c r="CQ20" i="2"/>
  <c r="DH20" i="2"/>
  <c r="EC57" i="2"/>
  <c r="DY20" i="2"/>
  <c r="DD20" i="2"/>
  <c r="DS20" i="2"/>
  <c r="DK20" i="2"/>
  <c r="DN20" i="2"/>
  <c r="DK9" i="2"/>
  <c r="CH20" i="2"/>
  <c r="CX20" i="2"/>
  <c r="CX9" i="2"/>
  <c r="DW20" i="2"/>
  <c r="EB57" i="2"/>
  <c r="DG9" i="2"/>
  <c r="DY9" i="2"/>
  <c r="EE20" i="2"/>
  <c r="DD9" i="2"/>
  <c r="DF20" i="2"/>
  <c r="EF20" i="2"/>
  <c r="EF9" i="2"/>
  <c r="EC9" i="2"/>
  <c r="EC20" i="2"/>
  <c r="CP20" i="2"/>
  <c r="ED40" i="2"/>
  <c r="DA9" i="2"/>
  <c r="CO20" i="2"/>
  <c r="DR20" i="2"/>
  <c r="CY20" i="2"/>
  <c r="CM9" i="2"/>
  <c r="DL9" i="2"/>
  <c r="DO9" i="2"/>
  <c r="ED20" i="2"/>
  <c r="ED36" i="2" s="1"/>
  <c r="CQ9" i="2"/>
  <c r="CS9" i="2"/>
  <c r="DB20" i="2"/>
  <c r="DX20" i="2"/>
  <c r="CT20" i="2"/>
  <c r="DG20" i="2"/>
  <c r="EA9" i="2"/>
  <c r="DI20" i="2"/>
  <c r="EE9" i="2"/>
  <c r="CU20" i="2"/>
  <c r="DU20" i="2"/>
  <c r="DU9" i="2"/>
  <c r="CR9" i="2"/>
  <c r="CN20" i="2"/>
  <c r="DV20" i="2"/>
  <c r="EB9" i="2"/>
  <c r="DX3" i="3"/>
  <c r="D41" i="3"/>
  <c r="D40" i="3"/>
  <c r="D38" i="3"/>
  <c r="D35" i="3"/>
  <c r="D34" i="3"/>
  <c r="D33" i="3"/>
  <c r="D32" i="3"/>
  <c r="D30" i="3"/>
  <c r="D27" i="3"/>
  <c r="D26" i="3"/>
  <c r="D24" i="3"/>
  <c r="D23" i="3"/>
  <c r="D22" i="3"/>
  <c r="D20" i="3"/>
  <c r="D19" i="3"/>
  <c r="D18" i="3"/>
  <c r="D17" i="3"/>
  <c r="D15" i="3"/>
  <c r="D12" i="3"/>
  <c r="D11" i="3"/>
  <c r="D10" i="3"/>
  <c r="D9" i="3"/>
  <c r="D8" i="3"/>
  <c r="D7" i="3"/>
  <c r="D5" i="3"/>
  <c r="D3" i="3"/>
  <c r="DW3" i="3"/>
  <c r="DV3" i="3"/>
  <c r="DU3" i="3"/>
  <c r="DT3" i="3"/>
  <c r="DS3" i="3"/>
  <c r="DR3" i="3"/>
  <c r="DQ3" i="3"/>
  <c r="DP3" i="3"/>
  <c r="DO3" i="3"/>
  <c r="DN3" i="3"/>
  <c r="DM3" i="3"/>
  <c r="DL3" i="3"/>
  <c r="DK3" i="3"/>
  <c r="DJ3" i="3"/>
  <c r="DI3" i="3"/>
  <c r="DH3" i="3"/>
  <c r="DG3" i="3"/>
  <c r="DF3" i="3"/>
  <c r="DE3" i="3"/>
  <c r="DD3" i="3"/>
  <c r="DC3" i="3"/>
  <c r="DB3" i="3"/>
  <c r="DA3" i="3"/>
  <c r="CZ3" i="3"/>
  <c r="CY3" i="3"/>
  <c r="CX3" i="3"/>
  <c r="CW3" i="3"/>
  <c r="CV3" i="3"/>
  <c r="CU3" i="3"/>
  <c r="CT3" i="3"/>
  <c r="CS3" i="3"/>
  <c r="CR3" i="3"/>
  <c r="CQ3" i="3"/>
  <c r="CP3" i="3"/>
  <c r="CO3" i="3"/>
  <c r="CN3" i="3"/>
  <c r="CM3" i="3"/>
  <c r="CL3" i="3"/>
  <c r="CK3" i="3"/>
  <c r="CJ3" i="3"/>
  <c r="CI3" i="3"/>
  <c r="CH3" i="3"/>
  <c r="CG3" i="3"/>
  <c r="CF3" i="3"/>
  <c r="CE3" i="3"/>
  <c r="BN3" i="3"/>
  <c r="BM3" i="3"/>
  <c r="BL3" i="3"/>
  <c r="BK3" i="3"/>
  <c r="BJ3" i="3"/>
  <c r="BI3" i="3"/>
  <c r="BH3" i="3"/>
  <c r="BG3" i="3"/>
  <c r="BF3" i="3"/>
  <c r="BE3" i="3"/>
  <c r="BD3" i="3"/>
  <c r="BC3" i="3"/>
  <c r="BB3" i="3"/>
  <c r="BA3" i="3"/>
  <c r="AZ3" i="3"/>
  <c r="AY3" i="3"/>
  <c r="AX3" i="3"/>
  <c r="AW3" i="3"/>
  <c r="AV3" i="3"/>
  <c r="AU3" i="3"/>
  <c r="AT3" i="3"/>
  <c r="AS3" i="3"/>
  <c r="AR3" i="3"/>
  <c r="AQ3" i="3"/>
  <c r="AP3" i="3"/>
  <c r="AO3" i="3"/>
  <c r="AN3" i="3"/>
  <c r="AM3" i="3"/>
  <c r="AL3" i="3"/>
  <c r="AK3" i="3"/>
  <c r="AJ3" i="3"/>
  <c r="AI3" i="3"/>
  <c r="AH3" i="3"/>
  <c r="AG3" i="3"/>
  <c r="AF3" i="3"/>
  <c r="AE3" i="3"/>
  <c r="AD3" i="3"/>
  <c r="AC3" i="3"/>
  <c r="AB3" i="3"/>
  <c r="AA3" i="3"/>
  <c r="Z3" i="3"/>
  <c r="Y3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205" i="2"/>
  <c r="D204" i="2"/>
  <c r="D203" i="2"/>
  <c r="D202" i="2"/>
  <c r="D200" i="2"/>
  <c r="D199" i="2"/>
  <c r="D198" i="2"/>
  <c r="D196" i="2"/>
  <c r="D195" i="2"/>
  <c r="D194" i="2"/>
  <c r="D193" i="2"/>
  <c r="D192" i="2"/>
  <c r="D191" i="2"/>
  <c r="D190" i="2"/>
  <c r="D189" i="2"/>
  <c r="D188" i="2"/>
  <c r="D186" i="2"/>
  <c r="D184" i="2"/>
  <c r="D182" i="2"/>
  <c r="D181" i="2"/>
  <c r="D179" i="2"/>
  <c r="D178" i="2"/>
  <c r="D177" i="2"/>
  <c r="D176" i="2"/>
  <c r="D175" i="2"/>
  <c r="D174" i="2"/>
  <c r="D173" i="2"/>
  <c r="D171" i="2"/>
  <c r="D169" i="2"/>
  <c r="D167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5" i="2"/>
  <c r="D144" i="2"/>
  <c r="D143" i="2"/>
  <c r="D142" i="2"/>
  <c r="D141" i="2"/>
  <c r="D140" i="2"/>
  <c r="D139" i="2"/>
  <c r="D138" i="2"/>
  <c r="D137" i="2"/>
  <c r="D136" i="2"/>
  <c r="D135" i="2"/>
  <c r="D133" i="2"/>
  <c r="D132" i="2"/>
  <c r="D131" i="2"/>
  <c r="D130" i="2"/>
  <c r="D129" i="2"/>
  <c r="D127" i="2"/>
  <c r="D125" i="2"/>
  <c r="D123" i="2"/>
  <c r="D121" i="2"/>
  <c r="D118" i="2"/>
  <c r="D117" i="2"/>
  <c r="D115" i="2"/>
  <c r="D114" i="2"/>
  <c r="D113" i="2"/>
  <c r="CF112" i="2" s="1"/>
  <c r="D112" i="2"/>
  <c r="D110" i="2"/>
  <c r="D109" i="2"/>
  <c r="D107" i="2"/>
  <c r="D106" i="2"/>
  <c r="D105" i="2"/>
  <c r="D104" i="2"/>
  <c r="D103" i="2"/>
  <c r="D102" i="2"/>
  <c r="D101" i="2"/>
  <c r="D100" i="2"/>
  <c r="D99" i="2"/>
  <c r="D98" i="2"/>
  <c r="D96" i="2"/>
  <c r="D95" i="2"/>
  <c r="D94" i="2"/>
  <c r="CF93" i="2" s="1"/>
  <c r="D93" i="2"/>
  <c r="D91" i="2"/>
  <c r="D90" i="2"/>
  <c r="D88" i="2"/>
  <c r="D87" i="2"/>
  <c r="D86" i="2"/>
  <c r="D84" i="2"/>
  <c r="D81" i="2"/>
  <c r="D78" i="2"/>
  <c r="D76" i="2"/>
  <c r="D75" i="2"/>
  <c r="D74" i="2"/>
  <c r="D73" i="2"/>
  <c r="D72" i="2"/>
  <c r="D71" i="2"/>
  <c r="D70" i="2"/>
  <c r="D68" i="2"/>
  <c r="D66" i="2"/>
  <c r="D65" i="2"/>
  <c r="D64" i="2"/>
  <c r="D63" i="2"/>
  <c r="D62" i="2"/>
  <c r="D61" i="2"/>
  <c r="D60" i="2"/>
  <c r="D58" i="2"/>
  <c r="D57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8" i="2"/>
  <c r="D36" i="2"/>
  <c r="D34" i="2"/>
  <c r="D33" i="2"/>
  <c r="D32" i="2"/>
  <c r="D31" i="2"/>
  <c r="D29" i="2"/>
  <c r="D28" i="2"/>
  <c r="D27" i="2"/>
  <c r="D26" i="2"/>
  <c r="D25" i="2"/>
  <c r="D24" i="2"/>
  <c r="D22" i="2"/>
  <c r="D20" i="2"/>
  <c r="D10" i="2"/>
  <c r="D9" i="2"/>
  <c r="D7" i="2"/>
  <c r="D5" i="2"/>
  <c r="D3" i="2"/>
  <c r="EA3" i="2"/>
  <c r="DZ3" i="2"/>
  <c r="DY3" i="2"/>
  <c r="DX3" i="2"/>
  <c r="DW3" i="2"/>
  <c r="DV3" i="2"/>
  <c r="DU3" i="2"/>
  <c r="DT3" i="2"/>
  <c r="DS3" i="2"/>
  <c r="DR3" i="2"/>
  <c r="DQ3" i="2"/>
  <c r="DP3" i="2"/>
  <c r="DO3" i="2"/>
  <c r="DN3" i="2"/>
  <c r="DM3" i="2"/>
  <c r="DL3" i="2"/>
  <c r="DK3" i="2"/>
  <c r="DJ3" i="2"/>
  <c r="DI3" i="2"/>
  <c r="DH3" i="2"/>
  <c r="DG3" i="2"/>
  <c r="DF3" i="2"/>
  <c r="DE3" i="2"/>
  <c r="DD3" i="2"/>
  <c r="DC3" i="2"/>
  <c r="DB3" i="2"/>
  <c r="DA3" i="2"/>
  <c r="CZ3" i="2"/>
  <c r="CY3" i="2"/>
  <c r="CX3" i="2"/>
  <c r="CW3" i="2"/>
  <c r="CV3" i="2"/>
  <c r="CU3" i="2"/>
  <c r="CT3" i="2"/>
  <c r="CS3" i="2"/>
  <c r="CR3" i="2"/>
  <c r="CQ3" i="2"/>
  <c r="CP3" i="2"/>
  <c r="CO3" i="2"/>
  <c r="CN3" i="2"/>
  <c r="CM3" i="2"/>
  <c r="CL3" i="2"/>
  <c r="CK3" i="2"/>
  <c r="CJ3" i="2"/>
  <c r="CI3" i="2"/>
  <c r="CH3" i="2"/>
  <c r="EL10" i="2"/>
  <c r="EL25" i="2"/>
  <c r="EL51" i="2"/>
  <c r="EL32" i="2"/>
  <c r="EI35" i="3"/>
  <c r="EI33" i="2"/>
  <c r="EI34" i="3"/>
  <c r="EL75" i="2"/>
  <c r="EL42" i="2"/>
  <c r="EL74" i="2"/>
  <c r="EL65" i="2"/>
  <c r="EL45" i="2"/>
  <c r="EL50" i="2"/>
  <c r="EL64" i="2"/>
  <c r="EI33" i="3"/>
  <c r="EL24" i="2"/>
  <c r="EI58" i="2"/>
  <c r="EL29" i="2"/>
  <c r="EI74" i="2"/>
  <c r="EL49" i="2"/>
  <c r="EL22" i="2"/>
  <c r="EL76" i="2"/>
  <c r="EL63" i="2"/>
  <c r="EL60" i="2"/>
  <c r="EL55" i="2"/>
  <c r="EL54" i="2"/>
  <c r="EL53" i="2"/>
  <c r="EL44" i="2"/>
  <c r="EL66" i="2"/>
  <c r="EL41" i="2"/>
  <c r="EL68" i="2"/>
  <c r="EL26" i="2"/>
  <c r="EL47" i="2"/>
  <c r="EL73" i="2"/>
  <c r="EL62" i="2"/>
  <c r="EL58" i="2"/>
  <c r="EL52" i="2"/>
  <c r="EI41" i="3"/>
  <c r="EL46" i="2"/>
  <c r="EL33" i="2"/>
  <c r="EL48" i="2"/>
  <c r="EL72" i="2"/>
  <c r="EL34" i="2"/>
  <c r="EL71" i="2"/>
  <c r="EL28" i="2"/>
  <c r="EL27" i="2"/>
  <c r="EI32" i="3"/>
  <c r="EI40" i="3"/>
  <c r="EI51" i="2"/>
  <c r="EL43" i="2"/>
  <c r="EL61" i="2"/>
  <c r="CF88" i="2" l="1"/>
  <c r="CF91" i="2" s="1"/>
  <c r="CF96" i="2" s="1"/>
  <c r="EE78" i="2"/>
  <c r="CF184" i="2"/>
  <c r="EL31" i="2"/>
  <c r="EL57" i="2"/>
  <c r="EL40" i="2"/>
  <c r="EL70" i="2"/>
  <c r="EL9" i="2"/>
  <c r="EL20" i="2"/>
  <c r="CF31" i="2"/>
  <c r="CF57" i="2"/>
  <c r="CF40" i="2"/>
  <c r="EF78" i="2"/>
  <c r="CF98" i="2"/>
  <c r="CF129" i="2"/>
  <c r="ED78" i="2"/>
  <c r="CF147" i="2"/>
  <c r="CF70" i="2"/>
  <c r="CF78" i="2" s="1"/>
  <c r="CF198" i="2"/>
  <c r="CF204" i="2"/>
  <c r="CF9" i="2"/>
  <c r="CF104" i="2"/>
  <c r="CF107" i="2" s="1"/>
  <c r="CF110" i="2" s="1"/>
  <c r="CF20" i="2"/>
  <c r="EL204" i="2"/>
  <c r="CF36" i="2" l="1"/>
  <c r="CF81" i="2" s="1"/>
  <c r="EL78" i="2"/>
  <c r="EL36" i="2"/>
  <c r="CF127" i="2"/>
  <c r="CF169" i="2" s="1"/>
  <c r="CF200" i="2" s="1"/>
  <c r="CF115" i="2"/>
  <c r="CF118" i="2" s="1"/>
  <c r="CF125" i="2" s="1"/>
  <c r="CC129" i="2"/>
  <c r="CC93" i="2"/>
  <c r="CC147" i="2"/>
  <c r="CC70" i="2"/>
  <c r="EK74" i="2"/>
  <c r="EJ53" i="2"/>
  <c r="EK50" i="2"/>
  <c r="EJ61" i="2"/>
  <c r="EJ50" i="2"/>
  <c r="EK60" i="2"/>
  <c r="EK34" i="2"/>
  <c r="EK75" i="2"/>
  <c r="EJ32" i="2"/>
  <c r="EJ75" i="2"/>
  <c r="EJ45" i="2"/>
  <c r="EJ76" i="2"/>
  <c r="EK45" i="2"/>
  <c r="EG34" i="3"/>
  <c r="EF35" i="3"/>
  <c r="EG35" i="3"/>
  <c r="EJ72" i="2"/>
  <c r="EG40" i="3"/>
  <c r="EG33" i="3"/>
  <c r="EK42" i="2"/>
  <c r="EJ28" i="2"/>
  <c r="EJ64" i="2"/>
  <c r="EK46" i="2"/>
  <c r="EK65" i="2"/>
  <c r="EJ26" i="2"/>
  <c r="EJ33" i="2"/>
  <c r="EK47" i="2"/>
  <c r="EK72" i="2"/>
  <c r="EK26" i="2"/>
  <c r="EK32" i="2"/>
  <c r="EJ66" i="2"/>
  <c r="EK58" i="2"/>
  <c r="EH41" i="3"/>
  <c r="EK53" i="2"/>
  <c r="EK49" i="2"/>
  <c r="EK48" i="2"/>
  <c r="EJ25" i="2"/>
  <c r="EK76" i="2"/>
  <c r="EK29" i="2"/>
  <c r="EJ73" i="2"/>
  <c r="EK61" i="2"/>
  <c r="EJ58" i="2"/>
  <c r="EK51" i="2"/>
  <c r="EJ65" i="2"/>
  <c r="EK28" i="2"/>
  <c r="EJ24" i="2"/>
  <c r="EK24" i="2"/>
  <c r="EJ29" i="2"/>
  <c r="EK27" i="2"/>
  <c r="EK64" i="2"/>
  <c r="EJ71" i="2"/>
  <c r="EJ68" i="2"/>
  <c r="EH32" i="3"/>
  <c r="EG41" i="3"/>
  <c r="EK33" i="2"/>
  <c r="EI24" i="2"/>
  <c r="EJ60" i="2"/>
  <c r="EJ22" i="2"/>
  <c r="EJ54" i="2"/>
  <c r="EH40" i="3"/>
  <c r="EK22" i="2"/>
  <c r="EJ48" i="2"/>
  <c r="EJ41" i="2"/>
  <c r="EK63" i="2"/>
  <c r="EJ51" i="2"/>
  <c r="EJ42" i="2"/>
  <c r="EK66" i="2"/>
  <c r="EJ44" i="2"/>
  <c r="EJ63" i="2"/>
  <c r="EJ74" i="2"/>
  <c r="EK54" i="2"/>
  <c r="EK52" i="2"/>
  <c r="EK73" i="2"/>
  <c r="EG32" i="3"/>
  <c r="EK44" i="2"/>
  <c r="EH33" i="3"/>
  <c r="EK10" i="2"/>
  <c r="EJ27" i="2"/>
  <c r="EJ55" i="2"/>
  <c r="EK68" i="2"/>
  <c r="EK43" i="2"/>
  <c r="EK55" i="2"/>
  <c r="EK41" i="2"/>
  <c r="EJ62" i="2"/>
  <c r="EK25" i="2"/>
  <c r="EJ47" i="2"/>
  <c r="EH35" i="3"/>
  <c r="EK71" i="2"/>
  <c r="EK62" i="2"/>
  <c r="EJ34" i="2"/>
  <c r="EJ10" i="2"/>
  <c r="EJ49" i="2"/>
  <c r="EI60" i="2"/>
  <c r="EH34" i="3"/>
  <c r="EJ43" i="2"/>
  <c r="EJ52" i="2"/>
  <c r="EJ46" i="2"/>
  <c r="CE98" i="2" l="1"/>
  <c r="CE112" i="2"/>
  <c r="CD112" i="2"/>
  <c r="EL81" i="2"/>
  <c r="CE88" i="2"/>
  <c r="CE91" i="2" s="1"/>
  <c r="CD88" i="2"/>
  <c r="CD91" i="2" s="1"/>
  <c r="CE93" i="2"/>
  <c r="EK70" i="2"/>
  <c r="EK9" i="2"/>
  <c r="EK31" i="2"/>
  <c r="EK57" i="2"/>
  <c r="EK40" i="2"/>
  <c r="EK20" i="2"/>
  <c r="EJ9" i="2"/>
  <c r="EJ31" i="2"/>
  <c r="EJ57" i="2"/>
  <c r="EJ20" i="2"/>
  <c r="EJ70" i="2"/>
  <c r="EJ40" i="2"/>
  <c r="CE147" i="2"/>
  <c r="CD184" i="2"/>
  <c r="CD104" i="2"/>
  <c r="CE184" i="2"/>
  <c r="CD147" i="2"/>
  <c r="CE70" i="2"/>
  <c r="CE104" i="2"/>
  <c r="CD93" i="2"/>
  <c r="CD198" i="2"/>
  <c r="CE204" i="2"/>
  <c r="CF203" i="2" s="1"/>
  <c r="CF205" i="2" s="1"/>
  <c r="CE9" i="2"/>
  <c r="CD204" i="2"/>
  <c r="CD9" i="2"/>
  <c r="CD129" i="2"/>
  <c r="CD31" i="2"/>
  <c r="CD57" i="2"/>
  <c r="CE31" i="2"/>
  <c r="CE129" i="2"/>
  <c r="CE57" i="2"/>
  <c r="CD20" i="2"/>
  <c r="CE20" i="2"/>
  <c r="CE40" i="2"/>
  <c r="CD70" i="2"/>
  <c r="CD98" i="2"/>
  <c r="CD40" i="2"/>
  <c r="CE198" i="2"/>
  <c r="EI34" i="2"/>
  <c r="EJ204" i="2"/>
  <c r="CE96" i="2" l="1"/>
  <c r="CE78" i="2"/>
  <c r="CD96" i="2"/>
  <c r="CD107" i="2" s="1"/>
  <c r="CD110" i="2" s="1"/>
  <c r="CD127" i="2" s="1"/>
  <c r="CE107" i="2"/>
  <c r="CE110" i="2" s="1"/>
  <c r="EF41" i="3"/>
  <c r="EI22" i="2"/>
  <c r="EK36" i="2" l="1"/>
  <c r="EK78" i="2"/>
  <c r="CE127" i="2"/>
  <c r="CE115" i="2"/>
  <c r="CE118" i="2" s="1"/>
  <c r="CE125" i="2" s="1"/>
  <c r="CD169" i="2"/>
  <c r="CD200" i="2" s="1"/>
  <c r="CE36" i="2"/>
  <c r="CE81" i="2" s="1"/>
  <c r="CE203" i="2"/>
  <c r="CE205" i="2"/>
  <c r="CE169" i="2"/>
  <c r="CE200" i="2" s="1"/>
  <c r="CD78" i="2"/>
  <c r="EJ36" i="2"/>
  <c r="CD115" i="2"/>
  <c r="CD118" i="2" s="1"/>
  <c r="CD125" i="2" s="1"/>
  <c r="EJ78" i="2"/>
  <c r="CD36" i="2"/>
  <c r="CD81" i="2" s="1"/>
  <c r="CC184" i="2"/>
  <c r="CC31" i="2"/>
  <c r="CC57" i="2"/>
  <c r="CC204" i="2"/>
  <c r="CD203" i="2" s="1"/>
  <c r="CD205" i="2" s="1"/>
  <c r="CC9" i="2"/>
  <c r="CC104" i="2"/>
  <c r="CB20" i="2"/>
  <c r="CC20" i="2"/>
  <c r="CC40" i="2"/>
  <c r="CC98" i="2"/>
  <c r="CC198" i="2"/>
  <c r="EC78" i="2"/>
  <c r="CC88" i="2"/>
  <c r="CC91" i="2" s="1"/>
  <c r="CC96" i="2" s="1"/>
  <c r="CC112" i="2"/>
  <c r="EB36" i="2"/>
  <c r="CB104" i="2"/>
  <c r="CB88" i="2"/>
  <c r="CB91" i="2" s="1"/>
  <c r="CB112" i="2"/>
  <c r="CB204" i="2"/>
  <c r="CC203" i="2" s="1"/>
  <c r="CB9" i="2"/>
  <c r="CB184" i="2"/>
  <c r="CB31" i="2"/>
  <c r="CB147" i="2"/>
  <c r="CB57" i="2"/>
  <c r="CB98" i="2"/>
  <c r="CB93" i="2"/>
  <c r="CB198" i="2"/>
  <c r="CB129" i="2"/>
  <c r="CB70" i="2"/>
  <c r="CB40" i="2"/>
  <c r="EE36" i="2"/>
  <c r="EE81" i="2" s="1"/>
  <c r="EF36" i="2"/>
  <c r="EF81" i="2" s="1"/>
  <c r="EC36" i="2"/>
  <c r="ED81" i="2"/>
  <c r="BQ29" i="2"/>
  <c r="BQ57" i="2"/>
  <c r="EF34" i="3"/>
  <c r="EI48" i="2"/>
  <c r="EI49" i="2"/>
  <c r="EI42" i="2"/>
  <c r="EK204" i="2"/>
  <c r="EI66" i="2"/>
  <c r="EI27" i="2"/>
  <c r="EI61" i="2"/>
  <c r="EI76" i="2"/>
  <c r="CC78" i="2" l="1"/>
  <c r="EF40" i="3"/>
  <c r="EI64" i="2"/>
  <c r="EI73" i="2"/>
  <c r="EI26" i="2"/>
  <c r="EI71" i="2"/>
  <c r="EI44" i="2"/>
  <c r="EK81" i="2" l="1"/>
  <c r="EJ81" i="2"/>
  <c r="EF33" i="3"/>
  <c r="EC81" i="2" l="1"/>
  <c r="CC205" i="2"/>
  <c r="CC107" i="2"/>
  <c r="CC110" i="2" s="1"/>
  <c r="CC127" i="2" s="1"/>
  <c r="CC169" i="2" s="1"/>
  <c r="CC200" i="2" s="1"/>
  <c r="CC36" i="2"/>
  <c r="CC81" i="2" s="1"/>
  <c r="CB36" i="2"/>
  <c r="CB96" i="2"/>
  <c r="CB205" i="2"/>
  <c r="CB78" i="2"/>
  <c r="CB81" i="2" s="1"/>
  <c r="BX184" i="2"/>
  <c r="BX198" i="2"/>
  <c r="BX129" i="2"/>
  <c r="BY147" i="2"/>
  <c r="BY169" i="2" s="1"/>
  <c r="BX147" i="2"/>
  <c r="BY184" i="2"/>
  <c r="BY198" i="2"/>
  <c r="BR88" i="2"/>
  <c r="BR147" i="2"/>
  <c r="BR184" i="2"/>
  <c r="BR40" i="2"/>
  <c r="BR20" i="2"/>
  <c r="BR31" i="2"/>
  <c r="BR198" i="2"/>
  <c r="BR57" i="2"/>
  <c r="BR70" i="2"/>
  <c r="BR9" i="2"/>
  <c r="EI55" i="2"/>
  <c r="EI45" i="2"/>
  <c r="EJ203" i="2"/>
  <c r="EI204" i="2"/>
  <c r="EI28" i="2"/>
  <c r="EI53" i="2"/>
  <c r="EI68" i="2"/>
  <c r="EI72" i="2"/>
  <c r="EL203" i="2"/>
  <c r="EI63" i="2"/>
  <c r="EI62" i="2"/>
  <c r="EI32" i="2"/>
  <c r="EI50" i="2"/>
  <c r="EI46" i="2"/>
  <c r="EK203" i="2"/>
  <c r="EI54" i="2"/>
  <c r="EI31" i="2" l="1"/>
  <c r="EF32" i="3"/>
  <c r="EI47" i="2"/>
  <c r="EI41" i="2"/>
  <c r="EI29" i="2"/>
  <c r="EI25" i="2"/>
  <c r="EI65" i="2"/>
  <c r="EI75" i="2"/>
  <c r="EI52" i="2"/>
  <c r="EI43" i="2"/>
  <c r="EI10" i="2"/>
  <c r="EI20" i="2" l="1"/>
  <c r="EI9" i="2"/>
  <c r="EI57" i="2"/>
  <c r="EI40" i="2"/>
  <c r="EI70" i="2"/>
  <c r="CC115" i="2"/>
  <c r="CC118" i="2" s="1"/>
  <c r="CC125" i="2" s="1"/>
  <c r="EI36" i="2"/>
  <c r="CB107" i="2"/>
  <c r="BX169" i="2"/>
  <c r="BX200" i="2" s="1"/>
  <c r="BY200" i="2"/>
  <c r="EA40" i="2"/>
  <c r="EA70" i="2"/>
  <c r="EA57" i="2"/>
  <c r="EA31" i="2"/>
  <c r="BR91" i="2"/>
  <c r="BR78" i="2"/>
  <c r="BR36" i="2"/>
  <c r="EI78" i="2" l="1"/>
  <c r="EI81" i="2"/>
  <c r="CB110" i="2"/>
  <c r="EA78" i="2"/>
  <c r="EA36" i="2"/>
  <c r="BR96" i="2"/>
  <c r="BR81" i="2"/>
  <c r="CB127" i="2" l="1"/>
  <c r="CB169" i="2" s="1"/>
  <c r="CB200" i="2" s="1"/>
  <c r="CB115" i="2"/>
  <c r="EA81" i="2"/>
  <c r="BR107" i="2"/>
  <c r="CB118" i="2" l="1"/>
  <c r="BR110" i="2"/>
  <c r="CB125" i="2" l="1"/>
  <c r="BR115" i="2"/>
  <c r="BR127" i="2"/>
  <c r="BR118" i="2" l="1"/>
  <c r="BR125" i="2" l="1"/>
  <c r="BR1" i="2" l="1"/>
  <c r="BQ147" i="2" l="1"/>
  <c r="BQ184" i="2"/>
  <c r="BQ198" i="2"/>
  <c r="BQ40" i="2" l="1"/>
  <c r="BQ1" i="2"/>
  <c r="BQ31" i="2"/>
  <c r="BQ20" i="2"/>
  <c r="BQ9" i="2"/>
  <c r="DY78" i="2"/>
  <c r="DY70" i="2"/>
  <c r="DY35" i="2"/>
  <c r="DY31" i="2" l="1"/>
  <c r="DY40" i="2"/>
  <c r="DY57" i="2"/>
  <c r="BQ36" i="2"/>
  <c r="BQ81" i="2" s="1"/>
  <c r="DY36" i="2" l="1"/>
  <c r="BP147" i="2"/>
  <c r="BP184" i="2"/>
  <c r="BP198" i="2"/>
  <c r="BN112" i="2"/>
  <c r="BN104" i="2"/>
  <c r="BN98" i="2"/>
  <c r="BN88" i="2"/>
  <c r="BN91" i="2" s="1"/>
  <c r="BP112" i="2"/>
  <c r="BP104" i="2"/>
  <c r="BP98" i="2"/>
  <c r="BP95" i="2"/>
  <c r="BP94" i="2"/>
  <c r="BP88" i="2"/>
  <c r="BP91" i="2" s="1"/>
  <c r="BP70" i="2"/>
  <c r="BP57" i="2"/>
  <c r="BP40" i="2"/>
  <c r="BP31" i="2"/>
  <c r="BP20" i="2"/>
  <c r="BP9" i="2"/>
  <c r="BP1" i="2"/>
  <c r="BO1" i="2"/>
  <c r="BP93" i="2" l="1"/>
  <c r="BP96" i="2" s="1"/>
  <c r="DY81" i="2"/>
  <c r="BP36" i="2"/>
  <c r="BN96" i="2"/>
  <c r="BN107" i="2" s="1"/>
  <c r="DZ31" i="2"/>
  <c r="DZ70" i="2"/>
  <c r="DZ40" i="2"/>
  <c r="DZ57" i="2"/>
  <c r="BP78" i="2"/>
  <c r="BP81" i="2" l="1"/>
  <c r="DZ78" i="2"/>
  <c r="DZ36" i="2"/>
  <c r="BN110" i="2"/>
  <c r="BN115" i="2" s="1"/>
  <c r="BN118" i="2" s="1"/>
  <c r="BP107" i="2"/>
  <c r="BN198" i="2"/>
  <c r="BN184" i="2"/>
  <c r="BN147" i="2"/>
  <c r="BN70" i="2"/>
  <c r="BN57" i="2"/>
  <c r="BN40" i="2"/>
  <c r="BN31" i="2"/>
  <c r="BN20" i="2"/>
  <c r="BN9" i="2"/>
  <c r="BN1" i="2"/>
  <c r="DZ81" i="2" l="1"/>
  <c r="BP110" i="2"/>
  <c r="DX70" i="2"/>
  <c r="DX31" i="2"/>
  <c r="BN125" i="2"/>
  <c r="BN78" i="2"/>
  <c r="BN36" i="2"/>
  <c r="DX57" i="2" l="1"/>
  <c r="DX40" i="2"/>
  <c r="BP115" i="2"/>
  <c r="BN127" i="2"/>
  <c r="DX36" i="2" l="1"/>
  <c r="DX78" i="2"/>
  <c r="BP118" i="2"/>
  <c r="DX81" i="2" l="1"/>
  <c r="BM198" i="2"/>
  <c r="BM184" i="2"/>
  <c r="BM147" i="2"/>
  <c r="BM112" i="2"/>
  <c r="BM104" i="2"/>
  <c r="BM98" i="2"/>
  <c r="BL98" i="2"/>
  <c r="BM88" i="2"/>
  <c r="BM91" i="2" l="1"/>
  <c r="BM96" i="2" s="1"/>
  <c r="BM107" i="2" l="1"/>
  <c r="BM110" i="2" s="1"/>
  <c r="BM115" i="2" l="1"/>
  <c r="BM127" i="2"/>
  <c r="BM70" i="2"/>
  <c r="BM57" i="2"/>
  <c r="BL57" i="2"/>
  <c r="BM40" i="2"/>
  <c r="BM31" i="2"/>
  <c r="BM20" i="2"/>
  <c r="BM9" i="2"/>
  <c r="BM1" i="2"/>
  <c r="BL198" i="2"/>
  <c r="BL184" i="2"/>
  <c r="BL147" i="2"/>
  <c r="BL112" i="2"/>
  <c r="BL104" i="2"/>
  <c r="BL88" i="2"/>
  <c r="BL91" i="2" s="1"/>
  <c r="BL70" i="2"/>
  <c r="BL40" i="2"/>
  <c r="BL31" i="2"/>
  <c r="BL20" i="2"/>
  <c r="BL9" i="2"/>
  <c r="BL1" i="2"/>
  <c r="BM118" i="2" l="1"/>
  <c r="BL96" i="2"/>
  <c r="BM36" i="2"/>
  <c r="BM125" i="2" l="1"/>
  <c r="BM78" i="2"/>
  <c r="BM81" i="2" s="1"/>
  <c r="BL36" i="2"/>
  <c r="BL78" i="2"/>
  <c r="BL107" i="2"/>
  <c r="BL110" i="2" s="1"/>
  <c r="BL127" i="2" s="1"/>
  <c r="BL81" i="2" l="1"/>
  <c r="DW40" i="2"/>
  <c r="BL115" i="2"/>
  <c r="BL118" i="2" s="1"/>
  <c r="BL125" i="2" s="1"/>
  <c r="BK104" i="2"/>
  <c r="BK98" i="2"/>
  <c r="DW70" i="2" l="1"/>
  <c r="DW57" i="2"/>
  <c r="DW31" i="2"/>
  <c r="BK198" i="2"/>
  <c r="BK184" i="2"/>
  <c r="BK147" i="2"/>
  <c r="BJ70" i="2"/>
  <c r="BJ57" i="2"/>
  <c r="BK112" i="2"/>
  <c r="BK88" i="2"/>
  <c r="BK91" i="2" s="1"/>
  <c r="BK96" i="2" s="1"/>
  <c r="BK107" i="2" s="1"/>
  <c r="BK110" i="2" s="1"/>
  <c r="BK70" i="2"/>
  <c r="BK57" i="2"/>
  <c r="BK40" i="2"/>
  <c r="BK31" i="2"/>
  <c r="BK20" i="2"/>
  <c r="BK9" i="2"/>
  <c r="BK1" i="2"/>
  <c r="DW78" i="2" l="1"/>
  <c r="DW36" i="2"/>
  <c r="BK36" i="2"/>
  <c r="BK115" i="2" l="1"/>
  <c r="BK118" i="2" s="1"/>
  <c r="BK125" i="2" s="1"/>
  <c r="BK127" i="2"/>
  <c r="BK78" i="2"/>
  <c r="BK81" i="2" s="1"/>
  <c r="DV70" i="2"/>
  <c r="DV57" i="2"/>
  <c r="DV31" i="2"/>
  <c r="BJ1" i="2"/>
  <c r="BJ112" i="2"/>
  <c r="BJ98" i="2"/>
  <c r="BJ104" i="2"/>
  <c r="BJ198" i="2"/>
  <c r="BJ184" i="2"/>
  <c r="BJ147" i="2"/>
  <c r="BJ88" i="2"/>
  <c r="BJ91" i="2" s="1"/>
  <c r="BJ40" i="2"/>
  <c r="BJ78" i="2" s="1"/>
  <c r="BJ31" i="2"/>
  <c r="BJ20" i="2"/>
  <c r="BJ9" i="2"/>
  <c r="BJ36" i="2" l="1"/>
  <c r="DV40" i="2"/>
  <c r="DV78" i="2" l="1"/>
  <c r="DV36" i="2"/>
  <c r="BJ96" i="2"/>
  <c r="BJ107" i="2" s="1"/>
  <c r="BJ110" i="2" s="1"/>
  <c r="BJ115" i="2" s="1"/>
  <c r="BJ118" i="2" s="1"/>
  <c r="BJ125" i="2" s="1"/>
  <c r="BJ81" i="2"/>
  <c r="DU57" i="2" l="1"/>
  <c r="DU31" i="2"/>
  <c r="DU70" i="2"/>
  <c r="DV81" i="2" l="1"/>
  <c r="DU40" i="2"/>
  <c r="DU36" i="2"/>
  <c r="DU81" i="2" s="1"/>
  <c r="BJ127" i="2"/>
  <c r="BE12" i="3" l="1"/>
  <c r="BI198" i="2" l="1"/>
  <c r="BI184" i="2"/>
  <c r="BI147" i="2"/>
  <c r="BH147" i="2"/>
  <c r="BI112" i="2"/>
  <c r="BI104" i="2"/>
  <c r="BI98" i="2"/>
  <c r="BI88" i="2"/>
  <c r="BI91" i="2" s="1"/>
  <c r="BI70" i="2"/>
  <c r="BI57" i="2"/>
  <c r="BI40" i="2"/>
  <c r="BI31" i="2"/>
  <c r="BI20" i="2"/>
  <c r="BI9" i="2"/>
  <c r="BI1" i="2"/>
  <c r="BI96" i="2" l="1"/>
  <c r="BI107" i="2" s="1"/>
  <c r="BI110" i="2" s="1"/>
  <c r="BI127" i="2" s="1"/>
  <c r="BI78" i="2"/>
  <c r="BI36" i="2"/>
  <c r="BI115" i="2" l="1"/>
  <c r="BI118" i="2" s="1"/>
  <c r="BI125" i="2" s="1"/>
  <c r="BI81" i="2"/>
  <c r="BD12" i="3"/>
  <c r="BH204" i="2" l="1"/>
  <c r="BH198" i="2"/>
  <c r="BH184" i="2"/>
  <c r="BH112" i="2"/>
  <c r="BH104" i="2"/>
  <c r="BH98" i="2"/>
  <c r="BH88" i="2"/>
  <c r="BH91" i="2" s="1"/>
  <c r="BH70" i="2"/>
  <c r="BH57" i="2"/>
  <c r="BH40" i="2"/>
  <c r="BH31" i="2"/>
  <c r="BH20" i="2"/>
  <c r="BH9" i="2"/>
  <c r="BH1" i="2"/>
  <c r="DT204" i="2"/>
  <c r="BI203" i="2" l="1"/>
  <c r="BH96" i="2"/>
  <c r="BH107" i="2" s="1"/>
  <c r="BH110" i="2" s="1"/>
  <c r="BH127" i="2" s="1"/>
  <c r="BH78" i="2"/>
  <c r="BH36" i="2"/>
  <c r="BC12" i="3"/>
  <c r="DV203" i="2"/>
  <c r="DW203" i="2"/>
  <c r="DU203" i="2"/>
  <c r="BI205" i="2" l="1"/>
  <c r="BH115" i="2"/>
  <c r="BH118" i="2" s="1"/>
  <c r="BH125" i="2" s="1"/>
  <c r="BH81" i="2"/>
  <c r="BG204" i="2"/>
  <c r="BG198" i="2"/>
  <c r="BG184" i="2"/>
  <c r="BG147" i="2"/>
  <c r="BG112" i="2"/>
  <c r="BG104" i="2"/>
  <c r="BG98" i="2"/>
  <c r="BG88" i="2"/>
  <c r="BG91" i="2" s="1"/>
  <c r="BG70" i="2"/>
  <c r="BG57" i="2"/>
  <c r="BG40" i="2"/>
  <c r="BG31" i="2"/>
  <c r="BG20" i="2"/>
  <c r="BG9" i="2"/>
  <c r="BG1" i="2"/>
  <c r="DS204" i="2"/>
  <c r="BH203" i="2" l="1"/>
  <c r="BH205" i="2" s="1"/>
  <c r="BG96" i="2"/>
  <c r="BG107" i="2" s="1"/>
  <c r="BG110" i="2" s="1"/>
  <c r="BG115" i="2" s="1"/>
  <c r="BG118" i="2" s="1"/>
  <c r="BG125" i="2" s="1"/>
  <c r="BG78" i="2"/>
  <c r="BG36" i="2"/>
  <c r="BE198" i="2"/>
  <c r="BD198" i="2"/>
  <c r="BC198" i="2"/>
  <c r="BB198" i="2"/>
  <c r="BA198" i="2"/>
  <c r="AZ198" i="2"/>
  <c r="AY198" i="2"/>
  <c r="AX198" i="2"/>
  <c r="AW198" i="2"/>
  <c r="AU198" i="2"/>
  <c r="AT198" i="2"/>
  <c r="AS198" i="2"/>
  <c r="AR198" i="2"/>
  <c r="AQ198" i="2"/>
  <c r="AP198" i="2"/>
  <c r="AO198" i="2"/>
  <c r="AN198" i="2"/>
  <c r="AM198" i="2"/>
  <c r="AL198" i="2"/>
  <c r="AK198" i="2"/>
  <c r="AJ198" i="2"/>
  <c r="AH198" i="2"/>
  <c r="AG198" i="2"/>
  <c r="AF198" i="2"/>
  <c r="AE198" i="2"/>
  <c r="AD198" i="2"/>
  <c r="AC198" i="2"/>
  <c r="AB198" i="2"/>
  <c r="AA198" i="2"/>
  <c r="Z198" i="2"/>
  <c r="Y198" i="2"/>
  <c r="X198" i="2"/>
  <c r="W198" i="2"/>
  <c r="V198" i="2"/>
  <c r="U198" i="2"/>
  <c r="T198" i="2"/>
  <c r="S198" i="2"/>
  <c r="R198" i="2"/>
  <c r="Q198" i="2"/>
  <c r="P198" i="2"/>
  <c r="O198" i="2"/>
  <c r="N198" i="2"/>
  <c r="M198" i="2"/>
  <c r="L198" i="2"/>
  <c r="K198" i="2"/>
  <c r="J198" i="2"/>
  <c r="I198" i="2"/>
  <c r="H198" i="2"/>
  <c r="G198" i="2"/>
  <c r="F198" i="2"/>
  <c r="E198" i="2"/>
  <c r="DT57" i="2" l="1"/>
  <c r="DT70" i="2"/>
  <c r="DT40" i="2"/>
  <c r="DT31" i="2"/>
  <c r="BG81" i="2"/>
  <c r="BG127" i="2"/>
  <c r="E1" i="3"/>
  <c r="BB12" i="3"/>
  <c r="BF1" i="2"/>
  <c r="BE1" i="2"/>
  <c r="BD1" i="2"/>
  <c r="BC1" i="2"/>
  <c r="BB1" i="2"/>
  <c r="BA1" i="2"/>
  <c r="AZ1" i="2"/>
  <c r="AY1" i="2"/>
  <c r="AX1" i="2"/>
  <c r="AW1" i="2"/>
  <c r="AV1" i="2"/>
  <c r="AU1" i="2"/>
  <c r="AT1" i="2"/>
  <c r="AS1" i="2"/>
  <c r="AR1" i="2"/>
  <c r="AQ1" i="2"/>
  <c r="AP1" i="2"/>
  <c r="AO1" i="2"/>
  <c r="AN1" i="2"/>
  <c r="AM1" i="2"/>
  <c r="AL1" i="2"/>
  <c r="AK1" i="2"/>
  <c r="AJ1" i="2"/>
  <c r="AI1" i="2"/>
  <c r="AH1" i="2"/>
  <c r="AG1" i="2"/>
  <c r="AF1" i="2"/>
  <c r="AE1" i="2"/>
  <c r="AD1" i="2"/>
  <c r="AC1" i="2"/>
  <c r="AB1" i="2"/>
  <c r="AA1" i="2"/>
  <c r="Z1" i="2"/>
  <c r="Y1" i="2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H1" i="2"/>
  <c r="G1" i="2"/>
  <c r="F1" i="2"/>
  <c r="E1" i="2"/>
  <c r="EH24" i="3" l="1"/>
  <c r="EH26" i="3"/>
  <c r="EH27" i="3"/>
  <c r="EG24" i="3"/>
  <c r="EH17" i="3"/>
  <c r="EG26" i="3"/>
  <c r="EG27" i="3"/>
  <c r="EI18" i="3"/>
  <c r="EG17" i="3"/>
  <c r="EG18" i="3"/>
  <c r="EG19" i="3"/>
  <c r="EH19" i="3"/>
  <c r="EG20" i="3"/>
  <c r="EH20" i="3"/>
  <c r="EG22" i="3"/>
  <c r="EH23" i="3"/>
  <c r="EH22" i="3"/>
  <c r="EG23" i="3"/>
  <c r="EI17" i="3"/>
  <c r="EI19" i="3"/>
  <c r="EI26" i="3"/>
  <c r="EI24" i="3"/>
  <c r="EI22" i="3"/>
  <c r="EI27" i="3"/>
  <c r="EH18" i="3"/>
  <c r="EI20" i="3"/>
  <c r="EI23" i="3"/>
  <c r="EJ144" i="2"/>
  <c r="EK143" i="2"/>
  <c r="EK177" i="2"/>
  <c r="EJ136" i="2"/>
  <c r="EL132" i="2"/>
  <c r="EL192" i="2"/>
  <c r="EK132" i="2"/>
  <c r="EL179" i="2"/>
  <c r="EJ192" i="2"/>
  <c r="EK117" i="2"/>
  <c r="EJ177" i="2"/>
  <c r="EK114" i="2"/>
  <c r="EK113" i="2"/>
  <c r="EJ173" i="2"/>
  <c r="EK180" i="2"/>
  <c r="EJ113" i="2"/>
  <c r="EL157" i="2"/>
  <c r="EK157" i="2"/>
  <c r="EK153" i="2"/>
  <c r="EL152" i="2"/>
  <c r="EL160" i="2"/>
  <c r="EJ160" i="2"/>
  <c r="EK150" i="2"/>
  <c r="EJ150" i="2"/>
  <c r="EL135" i="2"/>
  <c r="EJ137" i="2"/>
  <c r="EJ188" i="2"/>
  <c r="EK195" i="2"/>
  <c r="EJ142" i="2"/>
  <c r="EL159" i="2"/>
  <c r="EK109" i="2"/>
  <c r="EK130" i="2"/>
  <c r="EK173" i="2"/>
  <c r="EJ148" i="2"/>
  <c r="EK131" i="2"/>
  <c r="EK141" i="2"/>
  <c r="EK156" i="2"/>
  <c r="EK165" i="2"/>
  <c r="EJ190" i="2"/>
  <c r="EJ143" i="2"/>
  <c r="EK144" i="2"/>
  <c r="EJ161" i="2"/>
  <c r="EK151" i="2"/>
  <c r="EJ138" i="2"/>
  <c r="EL191" i="2"/>
  <c r="EK135" i="2"/>
  <c r="EJ117" i="2"/>
  <c r="EK161" i="2"/>
  <c r="EJ163" i="2"/>
  <c r="EJ165" i="2"/>
  <c r="EK137" i="2"/>
  <c r="EL142" i="2"/>
  <c r="EK136" i="2"/>
  <c r="EJ181" i="2"/>
  <c r="EJ130" i="2"/>
  <c r="EK175" i="2"/>
  <c r="EJ149" i="2"/>
  <c r="EJ152" i="2"/>
  <c r="EJ153" i="2"/>
  <c r="EK138" i="2"/>
  <c r="EJ195" i="2"/>
  <c r="EJ140" i="2"/>
  <c r="EJ114" i="2"/>
  <c r="EJ196" i="2"/>
  <c r="EJ166" i="2"/>
  <c r="EK178" i="2"/>
  <c r="EK174" i="2"/>
  <c r="EJ139" i="2"/>
  <c r="EK159" i="2"/>
  <c r="EJ180" i="2"/>
  <c r="EJ155" i="2"/>
  <c r="EK149" i="2"/>
  <c r="EK133" i="2"/>
  <c r="EK162" i="2"/>
  <c r="EJ151" i="2"/>
  <c r="EJ179" i="2"/>
  <c r="EK158" i="2"/>
  <c r="EJ131" i="2"/>
  <c r="EJ178" i="2"/>
  <c r="EK190" i="2"/>
  <c r="EK145" i="2"/>
  <c r="EJ158" i="2"/>
  <c r="EJ176" i="2"/>
  <c r="EK188" i="2"/>
  <c r="EL166" i="2"/>
  <c r="EK176" i="2"/>
  <c r="EK181" i="2"/>
  <c r="EJ162" i="2"/>
  <c r="EK191" i="2"/>
  <c r="EL196" i="2"/>
  <c r="EJ109" i="2"/>
  <c r="EK194" i="2"/>
  <c r="EK163" i="2"/>
  <c r="EJ133" i="2"/>
  <c r="EL130" i="2"/>
  <c r="EJ145" i="2"/>
  <c r="EK139" i="2"/>
  <c r="EK155" i="2"/>
  <c r="EJ154" i="2"/>
  <c r="EK154" i="2"/>
  <c r="EL148" i="2"/>
  <c r="EJ174" i="2"/>
  <c r="EJ156" i="2"/>
  <c r="EK140" i="2"/>
  <c r="EJ141" i="2"/>
  <c r="EJ175" i="2"/>
  <c r="EJ194" i="2"/>
  <c r="EK148" i="2"/>
  <c r="EL180" i="2"/>
  <c r="EK166" i="2"/>
  <c r="EL165" i="2"/>
  <c r="EL114" i="2"/>
  <c r="EL151" i="2"/>
  <c r="EL188" i="2"/>
  <c r="EL178" i="2"/>
  <c r="EL195" i="2"/>
  <c r="EJ135" i="2"/>
  <c r="EK152" i="2"/>
  <c r="EK179" i="2"/>
  <c r="EL136" i="2"/>
  <c r="EJ159" i="2"/>
  <c r="EL140" i="2"/>
  <c r="EL137" i="2"/>
  <c r="EJ191" i="2"/>
  <c r="EL173" i="2"/>
  <c r="EL158" i="2"/>
  <c r="EK196" i="2"/>
  <c r="EK142" i="2"/>
  <c r="EK160" i="2"/>
  <c r="EL145" i="2"/>
  <c r="EL109" i="2"/>
  <c r="EL153" i="2"/>
  <c r="EL190" i="2"/>
  <c r="EL117" i="2"/>
  <c r="EL174" i="2"/>
  <c r="EL175" i="2"/>
  <c r="EL181" i="2"/>
  <c r="EL154" i="2"/>
  <c r="EL138" i="2"/>
  <c r="EL143" i="2"/>
  <c r="EL149" i="2"/>
  <c r="EL161" i="2"/>
  <c r="EL176" i="2"/>
  <c r="EK192" i="2"/>
  <c r="EL162" i="2"/>
  <c r="EJ132" i="2"/>
  <c r="EJ157" i="2"/>
  <c r="EL139" i="2"/>
  <c r="EL133" i="2"/>
  <c r="EL113" i="2"/>
  <c r="EL131" i="2"/>
  <c r="EL141" i="2"/>
  <c r="EL155" i="2"/>
  <c r="EL144" i="2"/>
  <c r="EL194" i="2"/>
  <c r="EL150" i="2"/>
  <c r="EL156" i="2"/>
  <c r="EL163" i="2"/>
  <c r="EL177" i="2"/>
  <c r="EE27" i="3"/>
  <c r="DI27" i="3"/>
  <c r="CM27" i="3"/>
  <c r="DR26" i="3"/>
  <c r="CV26" i="3"/>
  <c r="EA24" i="3"/>
  <c r="DE24" i="3"/>
  <c r="CI24" i="3"/>
  <c r="DN23" i="3"/>
  <c r="CR23" i="3"/>
  <c r="DW22" i="3"/>
  <c r="DA22" i="3"/>
  <c r="CE22" i="3"/>
  <c r="DJ20" i="3"/>
  <c r="CN20" i="3"/>
  <c r="DS19" i="3"/>
  <c r="CW19" i="3"/>
  <c r="EB18" i="3"/>
  <c r="DF18" i="3"/>
  <c r="CJ18" i="3"/>
  <c r="DO17" i="3"/>
  <c r="CS17" i="3"/>
  <c r="CT11" i="3"/>
  <c r="CU10" i="3"/>
  <c r="CV9" i="3"/>
  <c r="CW8" i="3"/>
  <c r="CX7" i="3"/>
  <c r="DJ17" i="3"/>
  <c r="CQ9" i="3"/>
  <c r="CN10" i="3"/>
  <c r="CK11" i="3"/>
  <c r="CN7" i="3"/>
  <c r="CL7" i="3"/>
  <c r="DI18" i="3"/>
  <c r="CV17" i="3"/>
  <c r="DL20" i="3"/>
  <c r="CW10" i="3"/>
  <c r="ED27" i="3"/>
  <c r="DH27" i="3"/>
  <c r="CL27" i="3"/>
  <c r="DQ26" i="3"/>
  <c r="CU26" i="3"/>
  <c r="DZ24" i="3"/>
  <c r="DD24" i="3"/>
  <c r="CH24" i="3"/>
  <c r="DM23" i="3"/>
  <c r="CQ23" i="3"/>
  <c r="DV22" i="3"/>
  <c r="CZ22" i="3"/>
  <c r="EE20" i="3"/>
  <c r="DI20" i="3"/>
  <c r="CM20" i="3"/>
  <c r="DR19" i="3"/>
  <c r="CV19" i="3"/>
  <c r="EA18" i="3"/>
  <c r="DE18" i="3"/>
  <c r="CI18" i="3"/>
  <c r="DN17" i="3"/>
  <c r="CR17" i="3"/>
  <c r="CS11" i="3"/>
  <c r="CT10" i="3"/>
  <c r="CU9" i="3"/>
  <c r="CV8" i="3"/>
  <c r="CW7" i="3"/>
  <c r="CE18" i="3"/>
  <c r="CP10" i="3"/>
  <c r="CP9" i="3"/>
  <c r="CP7" i="3"/>
  <c r="CK10" i="3"/>
  <c r="CJ10" i="3"/>
  <c r="DH24" i="3"/>
  <c r="CX10" i="3"/>
  <c r="DQ17" i="3"/>
  <c r="EC27" i="3"/>
  <c r="DG27" i="3"/>
  <c r="CK27" i="3"/>
  <c r="DP26" i="3"/>
  <c r="CT26" i="3"/>
  <c r="DY24" i="3"/>
  <c r="DC24" i="3"/>
  <c r="CG24" i="3"/>
  <c r="DL23" i="3"/>
  <c r="CP23" i="3"/>
  <c r="DU22" i="3"/>
  <c r="CY22" i="3"/>
  <c r="ED20" i="3"/>
  <c r="DH20" i="3"/>
  <c r="CL20" i="3"/>
  <c r="DQ19" i="3"/>
  <c r="CU19" i="3"/>
  <c r="DZ18" i="3"/>
  <c r="DD18" i="3"/>
  <c r="CH18" i="3"/>
  <c r="DM17" i="3"/>
  <c r="CQ17" i="3"/>
  <c r="CR11" i="3"/>
  <c r="CS10" i="3"/>
  <c r="CT9" i="3"/>
  <c r="CU8" i="3"/>
  <c r="CV7" i="3"/>
  <c r="CN17" i="3"/>
  <c r="CS7" i="3"/>
  <c r="CO10" i="3"/>
  <c r="CO9" i="3"/>
  <c r="CN8" i="3"/>
  <c r="CL9" i="3"/>
  <c r="CK8" i="3"/>
  <c r="DV19" i="3"/>
  <c r="CY9" i="3"/>
  <c r="CL18" i="3"/>
  <c r="EB27" i="3"/>
  <c r="DF27" i="3"/>
  <c r="CJ27" i="3"/>
  <c r="DO26" i="3"/>
  <c r="CS26" i="3"/>
  <c r="DX24" i="3"/>
  <c r="DB24" i="3"/>
  <c r="CF24" i="3"/>
  <c r="DK23" i="3"/>
  <c r="CO23" i="3"/>
  <c r="DT22" i="3"/>
  <c r="CX22" i="3"/>
  <c r="EC20" i="3"/>
  <c r="DG20" i="3"/>
  <c r="CK20" i="3"/>
  <c r="DP19" i="3"/>
  <c r="CT19" i="3"/>
  <c r="DY18" i="3"/>
  <c r="DC18" i="3"/>
  <c r="CG18" i="3"/>
  <c r="DL17" i="3"/>
  <c r="CP17" i="3"/>
  <c r="CQ11" i="3"/>
  <c r="CR10" i="3"/>
  <c r="CS9" i="3"/>
  <c r="CT8" i="3"/>
  <c r="CU7" i="3"/>
  <c r="CQ8" i="3"/>
  <c r="CQ7" i="3"/>
  <c r="CO7" i="3"/>
  <c r="CL8" i="3"/>
  <c r="EE18" i="3"/>
  <c r="CZ8" i="3"/>
  <c r="CK24" i="3"/>
  <c r="CU17" i="3"/>
  <c r="EA27" i="3"/>
  <c r="DE27" i="3"/>
  <c r="CI27" i="3"/>
  <c r="DN26" i="3"/>
  <c r="CR26" i="3"/>
  <c r="DW24" i="3"/>
  <c r="DA24" i="3"/>
  <c r="CE24" i="3"/>
  <c r="DJ23" i="3"/>
  <c r="CN23" i="3"/>
  <c r="DS22" i="3"/>
  <c r="CW22" i="3"/>
  <c r="EB20" i="3"/>
  <c r="DF20" i="3"/>
  <c r="CJ20" i="3"/>
  <c r="DO19" i="3"/>
  <c r="CS19" i="3"/>
  <c r="DX18" i="3"/>
  <c r="DB18" i="3"/>
  <c r="CF18" i="3"/>
  <c r="DK17" i="3"/>
  <c r="CO17" i="3"/>
  <c r="CP11" i="3"/>
  <c r="CQ10" i="3"/>
  <c r="CR9" i="3"/>
  <c r="CS8" i="3"/>
  <c r="CT7" i="3"/>
  <c r="DA18" i="3"/>
  <c r="CR8" i="3"/>
  <c r="CR7" i="3"/>
  <c r="CO8" i="3"/>
  <c r="CJ11" i="3"/>
  <c r="DM20" i="3"/>
  <c r="DA7" i="3"/>
  <c r="DH18" i="3"/>
  <c r="DZ27" i="3"/>
  <c r="DD27" i="3"/>
  <c r="CH27" i="3"/>
  <c r="DM26" i="3"/>
  <c r="CQ26" i="3"/>
  <c r="DV24" i="3"/>
  <c r="CZ24" i="3"/>
  <c r="EE23" i="3"/>
  <c r="DI23" i="3"/>
  <c r="CM23" i="3"/>
  <c r="DR22" i="3"/>
  <c r="CV22" i="3"/>
  <c r="EA20" i="3"/>
  <c r="DE20" i="3"/>
  <c r="CI20" i="3"/>
  <c r="DN19" i="3"/>
  <c r="CR19" i="3"/>
  <c r="DW18" i="3"/>
  <c r="CO11" i="3"/>
  <c r="CM11" i="3"/>
  <c r="CM9" i="3"/>
  <c r="CH17" i="3"/>
  <c r="CP27" i="3"/>
  <c r="ED18" i="3"/>
  <c r="DY27" i="3"/>
  <c r="DC27" i="3"/>
  <c r="CG27" i="3"/>
  <c r="DL26" i="3"/>
  <c r="CP26" i="3"/>
  <c r="DU24" i="3"/>
  <c r="CY24" i="3"/>
  <c r="ED23" i="3"/>
  <c r="DH23" i="3"/>
  <c r="CL23" i="3"/>
  <c r="DQ22" i="3"/>
  <c r="CU22" i="3"/>
  <c r="DZ20" i="3"/>
  <c r="DD20" i="3"/>
  <c r="CH20" i="3"/>
  <c r="DM19" i="3"/>
  <c r="CQ19" i="3"/>
  <c r="DV18" i="3"/>
  <c r="CZ18" i="3"/>
  <c r="EE17" i="3"/>
  <c r="DI17" i="3"/>
  <c r="CM17" i="3"/>
  <c r="CN11" i="3"/>
  <c r="CP8" i="3"/>
  <c r="CL10" i="3"/>
  <c r="DD17" i="3"/>
  <c r="DU26" i="3"/>
  <c r="DY22" i="3"/>
  <c r="CZ7" i="3"/>
  <c r="DX27" i="3"/>
  <c r="DB27" i="3"/>
  <c r="CF27" i="3"/>
  <c r="DK26" i="3"/>
  <c r="CO26" i="3"/>
  <c r="DT24" i="3"/>
  <c r="CX24" i="3"/>
  <c r="EC23" i="3"/>
  <c r="DG23" i="3"/>
  <c r="CK23" i="3"/>
  <c r="DP22" i="3"/>
  <c r="CT22" i="3"/>
  <c r="DY20" i="3"/>
  <c r="DC20" i="3"/>
  <c r="CG20" i="3"/>
  <c r="DL19" i="3"/>
  <c r="CP19" i="3"/>
  <c r="DU18" i="3"/>
  <c r="CY18" i="3"/>
  <c r="ED17" i="3"/>
  <c r="DH17" i="3"/>
  <c r="CL17" i="3"/>
  <c r="CJ17" i="3"/>
  <c r="CI11" i="3"/>
  <c r="DD22" i="3"/>
  <c r="DG24" i="3"/>
  <c r="DW27" i="3"/>
  <c r="DA27" i="3"/>
  <c r="CE27" i="3"/>
  <c r="DJ26" i="3"/>
  <c r="CN26" i="3"/>
  <c r="DS24" i="3"/>
  <c r="CW24" i="3"/>
  <c r="EB23" i="3"/>
  <c r="DF23" i="3"/>
  <c r="CJ23" i="3"/>
  <c r="DO22" i="3"/>
  <c r="CS22" i="3"/>
  <c r="DX20" i="3"/>
  <c r="DB20" i="3"/>
  <c r="CF20" i="3"/>
  <c r="DK19" i="3"/>
  <c r="CO19" i="3"/>
  <c r="DT18" i="3"/>
  <c r="CX18" i="3"/>
  <c r="EC17" i="3"/>
  <c r="DG17" i="3"/>
  <c r="CK17" i="3"/>
  <c r="CL11" i="3"/>
  <c r="CM10" i="3"/>
  <c r="CN9" i="3"/>
  <c r="CM8" i="3"/>
  <c r="CJ9" i="3"/>
  <c r="DR17" i="3"/>
  <c r="EC24" i="3"/>
  <c r="DV27" i="3"/>
  <c r="CZ27" i="3"/>
  <c r="EE26" i="3"/>
  <c r="DI26" i="3"/>
  <c r="CM26" i="3"/>
  <c r="DR24" i="3"/>
  <c r="CV24" i="3"/>
  <c r="EA23" i="3"/>
  <c r="DE23" i="3"/>
  <c r="CI23" i="3"/>
  <c r="DN22" i="3"/>
  <c r="CR22" i="3"/>
  <c r="DW20" i="3"/>
  <c r="DA20" i="3"/>
  <c r="CE20" i="3"/>
  <c r="DJ19" i="3"/>
  <c r="CN19" i="3"/>
  <c r="DS18" i="3"/>
  <c r="CW18" i="3"/>
  <c r="EB17" i="3"/>
  <c r="DF17" i="3"/>
  <c r="CK9" i="3"/>
  <c r="CH22" i="3"/>
  <c r="CX26" i="3"/>
  <c r="DU27" i="3"/>
  <c r="CY27" i="3"/>
  <c r="ED26" i="3"/>
  <c r="DH26" i="3"/>
  <c r="CL26" i="3"/>
  <c r="DQ24" i="3"/>
  <c r="CU24" i="3"/>
  <c r="DZ23" i="3"/>
  <c r="DD23" i="3"/>
  <c r="CH23" i="3"/>
  <c r="DM22" i="3"/>
  <c r="CQ22" i="3"/>
  <c r="DV20" i="3"/>
  <c r="CZ20" i="3"/>
  <c r="EE19" i="3"/>
  <c r="DI19" i="3"/>
  <c r="CM19" i="3"/>
  <c r="DR18" i="3"/>
  <c r="CV18" i="3"/>
  <c r="EA17" i="3"/>
  <c r="DE17" i="3"/>
  <c r="CI17" i="3"/>
  <c r="CZ19" i="3"/>
  <c r="CO27" i="3"/>
  <c r="DT27" i="3"/>
  <c r="CX27" i="3"/>
  <c r="EC26" i="3"/>
  <c r="DG26" i="3"/>
  <c r="CK26" i="3"/>
  <c r="DP24" i="3"/>
  <c r="CT24" i="3"/>
  <c r="DY23" i="3"/>
  <c r="DC23" i="3"/>
  <c r="CG23" i="3"/>
  <c r="DL22" i="3"/>
  <c r="CP22" i="3"/>
  <c r="DU20" i="3"/>
  <c r="CY20" i="3"/>
  <c r="ED19" i="3"/>
  <c r="DH19" i="3"/>
  <c r="CL19" i="3"/>
  <c r="DQ18" i="3"/>
  <c r="CU18" i="3"/>
  <c r="DZ17" i="3"/>
  <c r="CL24" i="3"/>
  <c r="DU19" i="3"/>
  <c r="DS27" i="3"/>
  <c r="CW27" i="3"/>
  <c r="EB26" i="3"/>
  <c r="DF26" i="3"/>
  <c r="CJ26" i="3"/>
  <c r="DO24" i="3"/>
  <c r="CS24" i="3"/>
  <c r="DX23" i="3"/>
  <c r="DB23" i="3"/>
  <c r="CF23" i="3"/>
  <c r="DK22" i="3"/>
  <c r="CO22" i="3"/>
  <c r="DT20" i="3"/>
  <c r="CX20" i="3"/>
  <c r="EC19" i="3"/>
  <c r="DG19" i="3"/>
  <c r="CK19" i="3"/>
  <c r="DP18" i="3"/>
  <c r="CT18" i="3"/>
  <c r="DY17" i="3"/>
  <c r="DC17" i="3"/>
  <c r="CG17" i="3"/>
  <c r="CH11" i="3"/>
  <c r="CI10" i="3"/>
  <c r="CM18" i="3"/>
  <c r="CT23" i="3"/>
  <c r="DR27" i="3"/>
  <c r="CV27" i="3"/>
  <c r="EA26" i="3"/>
  <c r="DE26" i="3"/>
  <c r="CI26" i="3"/>
  <c r="DN24" i="3"/>
  <c r="CR24" i="3"/>
  <c r="DW23" i="3"/>
  <c r="DA23" i="3"/>
  <c r="CE23" i="3"/>
  <c r="DJ22" i="3"/>
  <c r="CN22" i="3"/>
  <c r="DS20" i="3"/>
  <c r="CW20" i="3"/>
  <c r="EB19" i="3"/>
  <c r="DF19" i="3"/>
  <c r="CJ19" i="3"/>
  <c r="DO18" i="3"/>
  <c r="CS18" i="3"/>
  <c r="DX17" i="3"/>
  <c r="DB17" i="3"/>
  <c r="CF17" i="3"/>
  <c r="CG11" i="3"/>
  <c r="CH10" i="3"/>
  <c r="CI9" i="3"/>
  <c r="CJ8" i="3"/>
  <c r="CK7" i="3"/>
  <c r="CG7" i="3"/>
  <c r="CU23" i="3"/>
  <c r="CP20" i="3"/>
  <c r="DQ27" i="3"/>
  <c r="CU27" i="3"/>
  <c r="DZ26" i="3"/>
  <c r="DD26" i="3"/>
  <c r="CH26" i="3"/>
  <c r="DM24" i="3"/>
  <c r="CQ24" i="3"/>
  <c r="DV23" i="3"/>
  <c r="CZ23" i="3"/>
  <c r="EE22" i="3"/>
  <c r="DI22" i="3"/>
  <c r="CM22" i="3"/>
  <c r="DR20" i="3"/>
  <c r="CV20" i="3"/>
  <c r="EA19" i="3"/>
  <c r="DE19" i="3"/>
  <c r="CI19" i="3"/>
  <c r="DN18" i="3"/>
  <c r="CR18" i="3"/>
  <c r="DW17" i="3"/>
  <c r="DA17" i="3"/>
  <c r="CE17" i="3"/>
  <c r="CF11" i="3"/>
  <c r="CG10" i="3"/>
  <c r="CH9" i="3"/>
  <c r="CI8" i="3"/>
  <c r="CJ7" i="3"/>
  <c r="DQ23" i="3"/>
  <c r="CG22" i="3"/>
  <c r="DP27" i="3"/>
  <c r="CT27" i="3"/>
  <c r="DY26" i="3"/>
  <c r="DC26" i="3"/>
  <c r="CG26" i="3"/>
  <c r="DL24" i="3"/>
  <c r="CP24" i="3"/>
  <c r="DU23" i="3"/>
  <c r="CY23" i="3"/>
  <c r="ED22" i="3"/>
  <c r="DH22" i="3"/>
  <c r="CL22" i="3"/>
  <c r="DQ20" i="3"/>
  <c r="CU20" i="3"/>
  <c r="DZ19" i="3"/>
  <c r="DD19" i="3"/>
  <c r="CH19" i="3"/>
  <c r="DM18" i="3"/>
  <c r="CQ18" i="3"/>
  <c r="DV17" i="3"/>
  <c r="CZ17" i="3"/>
  <c r="DA11" i="3"/>
  <c r="CE11" i="3"/>
  <c r="CF10" i="3"/>
  <c r="CG9" i="3"/>
  <c r="CH8" i="3"/>
  <c r="CI7" i="3"/>
  <c r="CY26" i="3"/>
  <c r="DT26" i="3"/>
  <c r="DO27" i="3"/>
  <c r="CS27" i="3"/>
  <c r="DX26" i="3"/>
  <c r="DB26" i="3"/>
  <c r="CF26" i="3"/>
  <c r="DK24" i="3"/>
  <c r="CO24" i="3"/>
  <c r="DT23" i="3"/>
  <c r="CX23" i="3"/>
  <c r="EC22" i="3"/>
  <c r="DG22" i="3"/>
  <c r="CK22" i="3"/>
  <c r="DP20" i="3"/>
  <c r="CT20" i="3"/>
  <c r="DY19" i="3"/>
  <c r="DC19" i="3"/>
  <c r="CG19" i="3"/>
  <c r="DL18" i="3"/>
  <c r="CP18" i="3"/>
  <c r="DU17" i="3"/>
  <c r="CY17" i="3"/>
  <c r="CZ11" i="3"/>
  <c r="DA10" i="3"/>
  <c r="CE10" i="3"/>
  <c r="CF9" i="3"/>
  <c r="CG8" i="3"/>
  <c r="CH7" i="3"/>
  <c r="DZ22" i="3"/>
  <c r="DK27" i="3"/>
  <c r="CY8" i="3"/>
  <c r="DN27" i="3"/>
  <c r="CR27" i="3"/>
  <c r="DW26" i="3"/>
  <c r="DA26" i="3"/>
  <c r="CE26" i="3"/>
  <c r="DJ24" i="3"/>
  <c r="CN24" i="3"/>
  <c r="DS23" i="3"/>
  <c r="CW23" i="3"/>
  <c r="EB22" i="3"/>
  <c r="DF22" i="3"/>
  <c r="CJ22" i="3"/>
  <c r="DO20" i="3"/>
  <c r="CS20" i="3"/>
  <c r="DX19" i="3"/>
  <c r="DB19" i="3"/>
  <c r="CF19" i="3"/>
  <c r="DK18" i="3"/>
  <c r="CO18" i="3"/>
  <c r="DT17" i="3"/>
  <c r="CX17" i="3"/>
  <c r="CY11" i="3"/>
  <c r="CZ10" i="3"/>
  <c r="DA9" i="3"/>
  <c r="CE9" i="3"/>
  <c r="CF8" i="3"/>
  <c r="DL27" i="3"/>
  <c r="DC22" i="3"/>
  <c r="CX9" i="3"/>
  <c r="DM27" i="3"/>
  <c r="CQ27" i="3"/>
  <c r="DV26" i="3"/>
  <c r="CZ26" i="3"/>
  <c r="EE24" i="3"/>
  <c r="DI24" i="3"/>
  <c r="CM24" i="3"/>
  <c r="DR23" i="3"/>
  <c r="CV23" i="3"/>
  <c r="EA22" i="3"/>
  <c r="DE22" i="3"/>
  <c r="CI22" i="3"/>
  <c r="DN20" i="3"/>
  <c r="CR20" i="3"/>
  <c r="DW19" i="3"/>
  <c r="DA19" i="3"/>
  <c r="CE19" i="3"/>
  <c r="DJ18" i="3"/>
  <c r="CN18" i="3"/>
  <c r="DS17" i="3"/>
  <c r="CW17" i="3"/>
  <c r="CX11" i="3"/>
  <c r="CY10" i="3"/>
  <c r="CZ9" i="3"/>
  <c r="DA8" i="3"/>
  <c r="CE8" i="3"/>
  <c r="CF7" i="3"/>
  <c r="ED24" i="3"/>
  <c r="CE7" i="3"/>
  <c r="CY19" i="3"/>
  <c r="DJ27" i="3"/>
  <c r="CN27" i="3"/>
  <c r="DS26" i="3"/>
  <c r="CW26" i="3"/>
  <c r="EB24" i="3"/>
  <c r="DF24" i="3"/>
  <c r="CJ24" i="3"/>
  <c r="DO23" i="3"/>
  <c r="CS23" i="3"/>
  <c r="DX22" i="3"/>
  <c r="DB22" i="3"/>
  <c r="CF22" i="3"/>
  <c r="DK20" i="3"/>
  <c r="CO20" i="3"/>
  <c r="DT19" i="3"/>
  <c r="CX19" i="3"/>
  <c r="EC18" i="3"/>
  <c r="DG18" i="3"/>
  <c r="CK18" i="3"/>
  <c r="DP17" i="3"/>
  <c r="CT17" i="3"/>
  <c r="CU11" i="3"/>
  <c r="CV10" i="3"/>
  <c r="CW9" i="3"/>
  <c r="CX8" i="3"/>
  <c r="CY7" i="3"/>
  <c r="CM7" i="3"/>
  <c r="CQ20" i="3"/>
  <c r="CW11" i="3"/>
  <c r="DP23" i="3"/>
  <c r="CV11" i="3"/>
  <c r="EF17" i="3"/>
  <c r="EF20" i="3"/>
  <c r="EF18" i="3"/>
  <c r="EF19" i="3"/>
  <c r="EI180" i="2"/>
  <c r="EI166" i="2"/>
  <c r="EI165" i="2"/>
  <c r="EI135" i="2"/>
  <c r="EI153" i="2"/>
  <c r="EI139" i="2"/>
  <c r="EI181" i="2"/>
  <c r="EI162" i="2"/>
  <c r="EI130" i="2"/>
  <c r="EI154" i="2"/>
  <c r="EI138" i="2"/>
  <c r="EI163" i="2"/>
  <c r="EI136" i="2"/>
  <c r="EI175" i="2"/>
  <c r="EI195" i="2"/>
  <c r="EI140" i="2"/>
  <c r="EI157" i="2"/>
  <c r="EI109" i="2"/>
  <c r="EI132" i="2"/>
  <c r="EI141" i="2"/>
  <c r="EI156" i="2"/>
  <c r="EI179" i="2"/>
  <c r="EI114" i="2"/>
  <c r="EI152" i="2"/>
  <c r="EI144" i="2"/>
  <c r="EI131" i="2"/>
  <c r="EI176" i="2"/>
  <c r="EI133" i="2"/>
  <c r="EI161" i="2"/>
  <c r="EI194" i="2"/>
  <c r="EI145" i="2"/>
  <c r="EI155" i="2"/>
  <c r="EI149" i="2"/>
  <c r="EI159" i="2"/>
  <c r="EI150" i="2"/>
  <c r="EI177" i="2"/>
  <c r="EI158" i="2"/>
  <c r="EI143" i="2"/>
  <c r="EI160" i="2"/>
  <c r="EI151" i="2"/>
  <c r="EI178" i="2"/>
  <c r="EI137" i="2"/>
  <c r="EI117" i="2"/>
  <c r="EI174" i="2"/>
  <c r="EI192" i="2"/>
  <c r="EI196" i="2"/>
  <c r="EI190" i="2"/>
  <c r="EI191" i="2"/>
  <c r="EI142" i="2"/>
  <c r="EI188" i="2"/>
  <c r="EI113" i="2"/>
  <c r="EI148" i="2"/>
  <c r="EI173" i="2"/>
  <c r="EF23" i="3"/>
  <c r="EF27" i="3"/>
  <c r="EF24" i="3"/>
  <c r="EF22" i="3"/>
  <c r="EF26" i="3"/>
  <c r="EE180" i="2"/>
  <c r="DS180" i="2"/>
  <c r="DG180" i="2"/>
  <c r="CU180" i="2"/>
  <c r="CI180" i="2"/>
  <c r="DP180" i="2"/>
  <c r="CR180" i="2"/>
  <c r="ED180" i="2"/>
  <c r="DR180" i="2"/>
  <c r="DF180" i="2"/>
  <c r="CT180" i="2"/>
  <c r="CH180" i="2"/>
  <c r="EB180" i="2"/>
  <c r="DD180" i="2"/>
  <c r="EC180" i="2"/>
  <c r="DQ180" i="2"/>
  <c r="DE180" i="2"/>
  <c r="CS180" i="2"/>
  <c r="EA180" i="2"/>
  <c r="DO180" i="2"/>
  <c r="DC180" i="2"/>
  <c r="CQ180" i="2"/>
  <c r="CJ180" i="2"/>
  <c r="DZ180" i="2"/>
  <c r="DN180" i="2"/>
  <c r="DB180" i="2"/>
  <c r="CP180" i="2"/>
  <c r="CV180" i="2"/>
  <c r="DY180" i="2"/>
  <c r="DM180" i="2"/>
  <c r="DA180" i="2"/>
  <c r="CO180" i="2"/>
  <c r="CX180" i="2"/>
  <c r="DX180" i="2"/>
  <c r="DL180" i="2"/>
  <c r="CZ180" i="2"/>
  <c r="CN180" i="2"/>
  <c r="DJ180" i="2"/>
  <c r="CL180" i="2"/>
  <c r="DW180" i="2"/>
  <c r="DK180" i="2"/>
  <c r="CY180" i="2"/>
  <c r="CM180" i="2"/>
  <c r="DV180" i="2"/>
  <c r="DH180" i="2"/>
  <c r="EH180" i="2"/>
  <c r="DU180" i="2"/>
  <c r="DI180" i="2"/>
  <c r="CW180" i="2"/>
  <c r="CK180" i="2"/>
  <c r="EF180" i="2"/>
  <c r="DT180" i="2"/>
  <c r="EG180" i="2"/>
  <c r="EF145" i="2"/>
  <c r="EH157" i="2"/>
  <c r="EH181" i="2"/>
  <c r="EH176" i="2"/>
  <c r="EH160" i="2"/>
  <c r="EH156" i="2"/>
  <c r="EH152" i="2"/>
  <c r="EH148" i="2"/>
  <c r="EH143" i="2"/>
  <c r="EH139" i="2"/>
  <c r="EH135" i="2"/>
  <c r="EH130" i="2"/>
  <c r="EH113" i="2"/>
  <c r="EH177" i="2"/>
  <c r="EH153" i="2"/>
  <c r="EH109" i="2"/>
  <c r="EG181" i="2"/>
  <c r="EG176" i="2"/>
  <c r="EG160" i="2"/>
  <c r="EG156" i="2"/>
  <c r="EG152" i="2"/>
  <c r="EG148" i="2"/>
  <c r="EG143" i="2"/>
  <c r="EG139" i="2"/>
  <c r="EG135" i="2"/>
  <c r="EG130" i="2"/>
  <c r="EG113" i="2"/>
  <c r="EH144" i="2"/>
  <c r="EH140" i="2"/>
  <c r="EH196" i="2"/>
  <c r="EH192" i="2"/>
  <c r="EH188" i="2"/>
  <c r="EH179" i="2"/>
  <c r="EH175" i="2"/>
  <c r="EH163" i="2"/>
  <c r="EH159" i="2"/>
  <c r="EH155" i="2"/>
  <c r="EH151" i="2"/>
  <c r="EH142" i="2"/>
  <c r="EH138" i="2"/>
  <c r="EH133" i="2"/>
  <c r="EH117" i="2"/>
  <c r="EH149" i="2"/>
  <c r="EH114" i="2"/>
  <c r="EG196" i="2"/>
  <c r="EG192" i="2"/>
  <c r="EG188" i="2"/>
  <c r="EG179" i="2"/>
  <c r="EG175" i="2"/>
  <c r="EG163" i="2"/>
  <c r="EG159" i="2"/>
  <c r="EG155" i="2"/>
  <c r="EG151" i="2"/>
  <c r="EG142" i="2"/>
  <c r="EG138" i="2"/>
  <c r="EG133" i="2"/>
  <c r="EG117" i="2"/>
  <c r="EH194" i="2"/>
  <c r="EH161" i="2"/>
  <c r="EH136" i="2"/>
  <c r="EH173" i="2"/>
  <c r="EH195" i="2"/>
  <c r="EH191" i="2"/>
  <c r="EH178" i="2"/>
  <c r="EH174" i="2"/>
  <c r="EH166" i="2"/>
  <c r="EH162" i="2"/>
  <c r="EH158" i="2"/>
  <c r="EH154" i="2"/>
  <c r="EH150" i="2"/>
  <c r="EH145" i="2"/>
  <c r="EH141" i="2"/>
  <c r="EH137" i="2"/>
  <c r="EH132" i="2"/>
  <c r="EH190" i="2"/>
  <c r="EG195" i="2"/>
  <c r="EG191" i="2"/>
  <c r="EG178" i="2"/>
  <c r="EG174" i="2"/>
  <c r="EG166" i="2"/>
  <c r="EG162" i="2"/>
  <c r="EG158" i="2"/>
  <c r="EG154" i="2"/>
  <c r="EG150" i="2"/>
  <c r="EG145" i="2"/>
  <c r="EG141" i="2"/>
  <c r="EG137" i="2"/>
  <c r="EG132" i="2"/>
  <c r="EG194" i="2"/>
  <c r="EG190" i="2"/>
  <c r="EG177" i="2"/>
  <c r="EG173" i="2"/>
  <c r="EG165" i="2"/>
  <c r="EG161" i="2"/>
  <c r="EG157" i="2"/>
  <c r="EG153" i="2"/>
  <c r="EG149" i="2"/>
  <c r="EG144" i="2"/>
  <c r="EG140" i="2"/>
  <c r="EG136" i="2"/>
  <c r="EG131" i="2"/>
  <c r="EG114" i="2"/>
  <c r="EG109" i="2"/>
  <c r="EH165" i="2"/>
  <c r="EH131" i="2"/>
  <c r="EF162" i="2"/>
  <c r="EF144" i="2"/>
  <c r="EE158" i="2"/>
  <c r="EE140" i="2"/>
  <c r="ED154" i="2"/>
  <c r="ED136" i="2"/>
  <c r="EC166" i="2"/>
  <c r="EC150" i="2"/>
  <c r="EC131" i="2"/>
  <c r="EB162" i="2"/>
  <c r="EB144" i="2"/>
  <c r="EA156" i="2"/>
  <c r="EA138" i="2"/>
  <c r="DZ166" i="2"/>
  <c r="DZ150" i="2"/>
  <c r="DZ131" i="2"/>
  <c r="DY160" i="2"/>
  <c r="DY142" i="2"/>
  <c r="DY113" i="2"/>
  <c r="DX154" i="2"/>
  <c r="DX136" i="2"/>
  <c r="DW148" i="2"/>
  <c r="DV158" i="2"/>
  <c r="DV140" i="2"/>
  <c r="DU152" i="2"/>
  <c r="DU133" i="2"/>
  <c r="DT162" i="2"/>
  <c r="DT144" i="2"/>
  <c r="DS156" i="2"/>
  <c r="DS138" i="2"/>
  <c r="DR166" i="2"/>
  <c r="DR150" i="2"/>
  <c r="DR131" i="2"/>
  <c r="DQ160" i="2"/>
  <c r="DQ142" i="2"/>
  <c r="DQ113" i="2"/>
  <c r="DP154" i="2"/>
  <c r="DP136" i="2"/>
  <c r="DO148" i="2"/>
  <c r="DN158" i="2"/>
  <c r="DN140" i="2"/>
  <c r="DM152" i="2"/>
  <c r="DM133" i="2"/>
  <c r="EF161" i="2"/>
  <c r="EF143" i="2"/>
  <c r="EF114" i="2"/>
  <c r="EE157" i="2"/>
  <c r="EE139" i="2"/>
  <c r="EE109" i="2"/>
  <c r="ED153" i="2"/>
  <c r="ED135" i="2"/>
  <c r="EC165" i="2"/>
  <c r="EC149" i="2"/>
  <c r="EC130" i="2"/>
  <c r="EB161" i="2"/>
  <c r="EB143" i="2"/>
  <c r="EB114" i="2"/>
  <c r="EA155" i="2"/>
  <c r="EA137" i="2"/>
  <c r="DZ165" i="2"/>
  <c r="DZ149" i="2"/>
  <c r="DZ130" i="2"/>
  <c r="DY159" i="2"/>
  <c r="DY141" i="2"/>
  <c r="DX153" i="2"/>
  <c r="DX135" i="2"/>
  <c r="DW163" i="2"/>
  <c r="DW145" i="2"/>
  <c r="DW117" i="2"/>
  <c r="DV157" i="2"/>
  <c r="DV139" i="2"/>
  <c r="DV109" i="2"/>
  <c r="DU151" i="2"/>
  <c r="DU132" i="2"/>
  <c r="DT161" i="2"/>
  <c r="DT143" i="2"/>
  <c r="DT114" i="2"/>
  <c r="DS155" i="2"/>
  <c r="DS137" i="2"/>
  <c r="DR165" i="2"/>
  <c r="DR149" i="2"/>
  <c r="DR130" i="2"/>
  <c r="DQ159" i="2"/>
  <c r="DQ141" i="2"/>
  <c r="DP153" i="2"/>
  <c r="DP135" i="2"/>
  <c r="DO163" i="2"/>
  <c r="DO145" i="2"/>
  <c r="DO117" i="2"/>
  <c r="DN157" i="2"/>
  <c r="DN139" i="2"/>
  <c r="DN109" i="2"/>
  <c r="DM151" i="2"/>
  <c r="DM132" i="2"/>
  <c r="DL161" i="2"/>
  <c r="DL143" i="2"/>
  <c r="DL114" i="2"/>
  <c r="EF160" i="2"/>
  <c r="EF142" i="2"/>
  <c r="EF113" i="2"/>
  <c r="EE156" i="2"/>
  <c r="EE138" i="2"/>
  <c r="ED152" i="2"/>
  <c r="ED133" i="2"/>
  <c r="EC148" i="2"/>
  <c r="EB160" i="2"/>
  <c r="EB142" i="2"/>
  <c r="EB113" i="2"/>
  <c r="EA154" i="2"/>
  <c r="EA136" i="2"/>
  <c r="DZ148" i="2"/>
  <c r="DY158" i="2"/>
  <c r="DY140" i="2"/>
  <c r="DX152" i="2"/>
  <c r="DX133" i="2"/>
  <c r="DW162" i="2"/>
  <c r="DW144" i="2"/>
  <c r="DV156" i="2"/>
  <c r="EF159" i="2"/>
  <c r="EF141" i="2"/>
  <c r="EE155" i="2"/>
  <c r="EE137" i="2"/>
  <c r="ED151" i="2"/>
  <c r="ED132" i="2"/>
  <c r="EC163" i="2"/>
  <c r="EC145" i="2"/>
  <c r="EC117" i="2"/>
  <c r="EB159" i="2"/>
  <c r="EB141" i="2"/>
  <c r="EA153" i="2"/>
  <c r="EA135" i="2"/>
  <c r="DZ163" i="2"/>
  <c r="DZ145" i="2"/>
  <c r="DZ117" i="2"/>
  <c r="DY157" i="2"/>
  <c r="DY139" i="2"/>
  <c r="DY109" i="2"/>
  <c r="DX151" i="2"/>
  <c r="DX132" i="2"/>
  <c r="DW161" i="2"/>
  <c r="DW143" i="2"/>
  <c r="DW114" i="2"/>
  <c r="DV155" i="2"/>
  <c r="DV137" i="2"/>
  <c r="EF158" i="2"/>
  <c r="EF140" i="2"/>
  <c r="EE154" i="2"/>
  <c r="EE136" i="2"/>
  <c r="ED166" i="2"/>
  <c r="ED150" i="2"/>
  <c r="ED131" i="2"/>
  <c r="EC162" i="2"/>
  <c r="EC144" i="2"/>
  <c r="EB158" i="2"/>
  <c r="EB140" i="2"/>
  <c r="EA152" i="2"/>
  <c r="EA133" i="2"/>
  <c r="DZ162" i="2"/>
  <c r="DZ144" i="2"/>
  <c r="DY156" i="2"/>
  <c r="DY138" i="2"/>
  <c r="DX166" i="2"/>
  <c r="DX150" i="2"/>
  <c r="DX131" i="2"/>
  <c r="DW160" i="2"/>
  <c r="DW142" i="2"/>
  <c r="DW113" i="2"/>
  <c r="DV154" i="2"/>
  <c r="DV136" i="2"/>
  <c r="DU148" i="2"/>
  <c r="DT158" i="2"/>
  <c r="DT140" i="2"/>
  <c r="DS152" i="2"/>
  <c r="DS133" i="2"/>
  <c r="DR162" i="2"/>
  <c r="DR144" i="2"/>
  <c r="DQ156" i="2"/>
  <c r="DQ138" i="2"/>
  <c r="DP166" i="2"/>
  <c r="DP150" i="2"/>
  <c r="DP131" i="2"/>
  <c r="DO160" i="2"/>
  <c r="DO142" i="2"/>
  <c r="DO113" i="2"/>
  <c r="DN154" i="2"/>
  <c r="DN136" i="2"/>
  <c r="DM148" i="2"/>
  <c r="DL158" i="2"/>
  <c r="EF157" i="2"/>
  <c r="EF139" i="2"/>
  <c r="EF109" i="2"/>
  <c r="EE153" i="2"/>
  <c r="EE135" i="2"/>
  <c r="ED165" i="2"/>
  <c r="ED149" i="2"/>
  <c r="ED130" i="2"/>
  <c r="EC161" i="2"/>
  <c r="EC143" i="2"/>
  <c r="EC114" i="2"/>
  <c r="EB157" i="2"/>
  <c r="EB139" i="2"/>
  <c r="EB109" i="2"/>
  <c r="EA151" i="2"/>
  <c r="EA132" i="2"/>
  <c r="DZ161" i="2"/>
  <c r="DZ143" i="2"/>
  <c r="DZ114" i="2"/>
  <c r="DY155" i="2"/>
  <c r="DY137" i="2"/>
  <c r="DX165" i="2"/>
  <c r="DX149" i="2"/>
  <c r="DX130" i="2"/>
  <c r="DW159" i="2"/>
  <c r="DW141" i="2"/>
  <c r="DV153" i="2"/>
  <c r="DV135" i="2"/>
  <c r="DU163" i="2"/>
  <c r="DU145" i="2"/>
  <c r="DU117" i="2"/>
  <c r="DT157" i="2"/>
  <c r="DT139" i="2"/>
  <c r="DT109" i="2"/>
  <c r="DS151" i="2"/>
  <c r="DS132" i="2"/>
  <c r="DR161" i="2"/>
  <c r="DR143" i="2"/>
  <c r="DR114" i="2"/>
  <c r="DQ155" i="2"/>
  <c r="DQ137" i="2"/>
  <c r="DP165" i="2"/>
  <c r="DP149" i="2"/>
  <c r="DP130" i="2"/>
  <c r="DO159" i="2"/>
  <c r="DO141" i="2"/>
  <c r="DN153" i="2"/>
  <c r="DN135" i="2"/>
  <c r="DM163" i="2"/>
  <c r="DM145" i="2"/>
  <c r="DM117" i="2"/>
  <c r="DL157" i="2"/>
  <c r="DL139" i="2"/>
  <c r="DL109" i="2"/>
  <c r="DK151" i="2"/>
  <c r="DK132" i="2"/>
  <c r="DJ161" i="2"/>
  <c r="DJ143" i="2"/>
  <c r="DJ114" i="2"/>
  <c r="EF156" i="2"/>
  <c r="EF138" i="2"/>
  <c r="EE152" i="2"/>
  <c r="EE133" i="2"/>
  <c r="ED148" i="2"/>
  <c r="EC160" i="2"/>
  <c r="EC142" i="2"/>
  <c r="EC113" i="2"/>
  <c r="EB156" i="2"/>
  <c r="EB138" i="2"/>
  <c r="EA166" i="2"/>
  <c r="EA150" i="2"/>
  <c r="EA131" i="2"/>
  <c r="DZ160" i="2"/>
  <c r="DZ142" i="2"/>
  <c r="DZ113" i="2"/>
  <c r="DY154" i="2"/>
  <c r="DY136" i="2"/>
  <c r="DX148" i="2"/>
  <c r="DW158" i="2"/>
  <c r="DW140" i="2"/>
  <c r="DV152" i="2"/>
  <c r="DV133" i="2"/>
  <c r="DU162" i="2"/>
  <c r="DU144" i="2"/>
  <c r="DT156" i="2"/>
  <c r="DT138" i="2"/>
  <c r="DS166" i="2"/>
  <c r="DS150" i="2"/>
  <c r="DS131" i="2"/>
  <c r="DR160" i="2"/>
  <c r="DR142" i="2"/>
  <c r="DR113" i="2"/>
  <c r="DQ154" i="2"/>
  <c r="DQ136" i="2"/>
  <c r="DP148" i="2"/>
  <c r="DO158" i="2"/>
  <c r="DO140" i="2"/>
  <c r="DN152" i="2"/>
  <c r="DN133" i="2"/>
  <c r="DM162" i="2"/>
  <c r="DM144" i="2"/>
  <c r="DL156" i="2"/>
  <c r="DL138" i="2"/>
  <c r="DK166" i="2"/>
  <c r="DK150" i="2"/>
  <c r="DK131" i="2"/>
  <c r="EF155" i="2"/>
  <c r="EF137" i="2"/>
  <c r="EE151" i="2"/>
  <c r="EE132" i="2"/>
  <c r="ED163" i="2"/>
  <c r="ED145" i="2"/>
  <c r="ED117" i="2"/>
  <c r="EC159" i="2"/>
  <c r="EC141" i="2"/>
  <c r="EB155" i="2"/>
  <c r="EB137" i="2"/>
  <c r="EA165" i="2"/>
  <c r="EA149" i="2"/>
  <c r="EA130" i="2"/>
  <c r="DZ159" i="2"/>
  <c r="DZ141" i="2"/>
  <c r="DY153" i="2"/>
  <c r="DY135" i="2"/>
  <c r="DX163" i="2"/>
  <c r="DX145" i="2"/>
  <c r="DX117" i="2"/>
  <c r="DW157" i="2"/>
  <c r="DW139" i="2"/>
  <c r="DW109" i="2"/>
  <c r="DV151" i="2"/>
  <c r="DV132" i="2"/>
  <c r="DU161" i="2"/>
  <c r="DU143" i="2"/>
  <c r="DU114" i="2"/>
  <c r="DT155" i="2"/>
  <c r="DT137" i="2"/>
  <c r="DS165" i="2"/>
  <c r="DS149" i="2"/>
  <c r="DS130" i="2"/>
  <c r="DR159" i="2"/>
  <c r="DR141" i="2"/>
  <c r="DQ153" i="2"/>
  <c r="DQ135" i="2"/>
  <c r="DP163" i="2"/>
  <c r="DP145" i="2"/>
  <c r="DP117" i="2"/>
  <c r="DO157" i="2"/>
  <c r="DO139" i="2"/>
  <c r="DO109" i="2"/>
  <c r="DN151" i="2"/>
  <c r="DN132" i="2"/>
  <c r="DM161" i="2"/>
  <c r="DM143" i="2"/>
  <c r="DM114" i="2"/>
  <c r="DL155" i="2"/>
  <c r="DL137" i="2"/>
  <c r="DK165" i="2"/>
  <c r="DK149" i="2"/>
  <c r="DK130" i="2"/>
  <c r="EF154" i="2"/>
  <c r="EF136" i="2"/>
  <c r="EE166" i="2"/>
  <c r="EE150" i="2"/>
  <c r="EE131" i="2"/>
  <c r="ED162" i="2"/>
  <c r="ED144" i="2"/>
  <c r="EC158" i="2"/>
  <c r="EC140" i="2"/>
  <c r="EB154" i="2"/>
  <c r="EB136" i="2"/>
  <c r="EA148" i="2"/>
  <c r="DZ158" i="2"/>
  <c r="DZ140" i="2"/>
  <c r="DY152" i="2"/>
  <c r="DY133" i="2"/>
  <c r="DX162" i="2"/>
  <c r="DX144" i="2"/>
  <c r="DW156" i="2"/>
  <c r="DW138" i="2"/>
  <c r="DV166" i="2"/>
  <c r="DV150" i="2"/>
  <c r="DV131" i="2"/>
  <c r="DU160" i="2"/>
  <c r="DU142" i="2"/>
  <c r="DU113" i="2"/>
  <c r="DT154" i="2"/>
  <c r="DT136" i="2"/>
  <c r="DS148" i="2"/>
  <c r="DR158" i="2"/>
  <c r="DR140" i="2"/>
  <c r="DQ152" i="2"/>
  <c r="DQ133" i="2"/>
  <c r="DP162" i="2"/>
  <c r="DP144" i="2"/>
  <c r="DO156" i="2"/>
  <c r="DO138" i="2"/>
  <c r="DN166" i="2"/>
  <c r="DN150" i="2"/>
  <c r="DN131" i="2"/>
  <c r="DM160" i="2"/>
  <c r="DM142" i="2"/>
  <c r="DM113" i="2"/>
  <c r="DL154" i="2"/>
  <c r="DL136" i="2"/>
  <c r="DK148" i="2"/>
  <c r="EF153" i="2"/>
  <c r="EF135" i="2"/>
  <c r="EE165" i="2"/>
  <c r="EE149" i="2"/>
  <c r="EE130" i="2"/>
  <c r="ED161" i="2"/>
  <c r="ED143" i="2"/>
  <c r="ED114" i="2"/>
  <c r="EC157" i="2"/>
  <c r="EC139" i="2"/>
  <c r="EC109" i="2"/>
  <c r="EB153" i="2"/>
  <c r="EB135" i="2"/>
  <c r="EA163" i="2"/>
  <c r="EA145" i="2"/>
  <c r="EA117" i="2"/>
  <c r="DZ157" i="2"/>
  <c r="DZ139" i="2"/>
  <c r="DZ109" i="2"/>
  <c r="DY151" i="2"/>
  <c r="DY132" i="2"/>
  <c r="DX161" i="2"/>
  <c r="DX143" i="2"/>
  <c r="DX114" i="2"/>
  <c r="DW155" i="2"/>
  <c r="DW137" i="2"/>
  <c r="DV165" i="2"/>
  <c r="DV149" i="2"/>
  <c r="EF152" i="2"/>
  <c r="EF133" i="2"/>
  <c r="EE148" i="2"/>
  <c r="ED160" i="2"/>
  <c r="ED142" i="2"/>
  <c r="ED113" i="2"/>
  <c r="EC156" i="2"/>
  <c r="EC138" i="2"/>
  <c r="EB152" i="2"/>
  <c r="EB133" i="2"/>
  <c r="EA162" i="2"/>
  <c r="EA144" i="2"/>
  <c r="DZ156" i="2"/>
  <c r="DZ138" i="2"/>
  <c r="DY166" i="2"/>
  <c r="DY150" i="2"/>
  <c r="DY131" i="2"/>
  <c r="DX160" i="2"/>
  <c r="DX142" i="2"/>
  <c r="DX113" i="2"/>
  <c r="DW154" i="2"/>
  <c r="DW136" i="2"/>
  <c r="DV148" i="2"/>
  <c r="EF151" i="2"/>
  <c r="EF132" i="2"/>
  <c r="EE163" i="2"/>
  <c r="EE145" i="2"/>
  <c r="EE117" i="2"/>
  <c r="ED159" i="2"/>
  <c r="ED141" i="2"/>
  <c r="EC155" i="2"/>
  <c r="EC137" i="2"/>
  <c r="EB151" i="2"/>
  <c r="EB132" i="2"/>
  <c r="EA161" i="2"/>
  <c r="EA143" i="2"/>
  <c r="EA114" i="2"/>
  <c r="DZ155" i="2"/>
  <c r="DZ137" i="2"/>
  <c r="DY165" i="2"/>
  <c r="DY149" i="2"/>
  <c r="DY130" i="2"/>
  <c r="DX159" i="2"/>
  <c r="DX141" i="2"/>
  <c r="DW153" i="2"/>
  <c r="DW135" i="2"/>
  <c r="DV163" i="2"/>
  <c r="DV145" i="2"/>
  <c r="DV117" i="2"/>
  <c r="DU157" i="2"/>
  <c r="DU139" i="2"/>
  <c r="DU109" i="2"/>
  <c r="DT151" i="2"/>
  <c r="DT132" i="2"/>
  <c r="DS161" i="2"/>
  <c r="DS143" i="2"/>
  <c r="DS114" i="2"/>
  <c r="DR155" i="2"/>
  <c r="DR137" i="2"/>
  <c r="DQ165" i="2"/>
  <c r="DQ149" i="2"/>
  <c r="DQ130" i="2"/>
  <c r="DP159" i="2"/>
  <c r="DP141" i="2"/>
  <c r="DO153" i="2"/>
  <c r="DO135" i="2"/>
  <c r="DN163" i="2"/>
  <c r="DN145" i="2"/>
  <c r="DN117" i="2"/>
  <c r="DM157" i="2"/>
  <c r="DM139" i="2"/>
  <c r="DM109" i="2"/>
  <c r="DL151" i="2"/>
  <c r="DL132" i="2"/>
  <c r="DK161" i="2"/>
  <c r="DK143" i="2"/>
  <c r="DK114" i="2"/>
  <c r="EF148" i="2"/>
  <c r="EE160" i="2"/>
  <c r="EE142" i="2"/>
  <c r="EE113" i="2"/>
  <c r="ED156" i="2"/>
  <c r="ED138" i="2"/>
  <c r="EC152" i="2"/>
  <c r="EC133" i="2"/>
  <c r="EB148" i="2"/>
  <c r="EA158" i="2"/>
  <c r="EA140" i="2"/>
  <c r="DZ152" i="2"/>
  <c r="DZ133" i="2"/>
  <c r="DY162" i="2"/>
  <c r="DY144" i="2"/>
  <c r="DX156" i="2"/>
  <c r="DX138" i="2"/>
  <c r="DW166" i="2"/>
  <c r="DW150" i="2"/>
  <c r="DW131" i="2"/>
  <c r="DV160" i="2"/>
  <c r="DV142" i="2"/>
  <c r="DV113" i="2"/>
  <c r="DU154" i="2"/>
  <c r="DU136" i="2"/>
  <c r="DT148" i="2"/>
  <c r="DS158" i="2"/>
  <c r="DS140" i="2"/>
  <c r="DR152" i="2"/>
  <c r="DR133" i="2"/>
  <c r="DQ162" i="2"/>
  <c r="DQ144" i="2"/>
  <c r="DP156" i="2"/>
  <c r="DP138" i="2"/>
  <c r="DO166" i="2"/>
  <c r="DO150" i="2"/>
  <c r="DO131" i="2"/>
  <c r="DN160" i="2"/>
  <c r="DN142" i="2"/>
  <c r="DN113" i="2"/>
  <c r="DM154" i="2"/>
  <c r="DM136" i="2"/>
  <c r="DL148" i="2"/>
  <c r="DK158" i="2"/>
  <c r="DK140" i="2"/>
  <c r="EF163" i="2"/>
  <c r="EF117" i="2"/>
  <c r="EE159" i="2"/>
  <c r="EE141" i="2"/>
  <c r="ED155" i="2"/>
  <c r="ED137" i="2"/>
  <c r="EC151" i="2"/>
  <c r="EC132" i="2"/>
  <c r="EB163" i="2"/>
  <c r="EB145" i="2"/>
  <c r="EB117" i="2"/>
  <c r="EA157" i="2"/>
  <c r="EA139" i="2"/>
  <c r="EA109" i="2"/>
  <c r="DZ151" i="2"/>
  <c r="DZ132" i="2"/>
  <c r="DY161" i="2"/>
  <c r="DY143" i="2"/>
  <c r="DY114" i="2"/>
  <c r="DX155" i="2"/>
  <c r="DX137" i="2"/>
  <c r="DW165" i="2"/>
  <c r="DW149" i="2"/>
  <c r="DW130" i="2"/>
  <c r="DV159" i="2"/>
  <c r="DV141" i="2"/>
  <c r="DU153" i="2"/>
  <c r="DU135" i="2"/>
  <c r="DT163" i="2"/>
  <c r="DT145" i="2"/>
  <c r="DT117" i="2"/>
  <c r="DS157" i="2"/>
  <c r="DS139" i="2"/>
  <c r="DS109" i="2"/>
  <c r="DR151" i="2"/>
  <c r="DR132" i="2"/>
  <c r="DQ161" i="2"/>
  <c r="DQ143" i="2"/>
  <c r="DQ114" i="2"/>
  <c r="DP155" i="2"/>
  <c r="DP137" i="2"/>
  <c r="DO165" i="2"/>
  <c r="DO149" i="2"/>
  <c r="DO130" i="2"/>
  <c r="EE144" i="2"/>
  <c r="EC136" i="2"/>
  <c r="EA113" i="2"/>
  <c r="DV162" i="2"/>
  <c r="DU159" i="2"/>
  <c r="DT131" i="2"/>
  <c r="DS145" i="2"/>
  <c r="DQ132" i="2"/>
  <c r="DP152" i="2"/>
  <c r="DN143" i="2"/>
  <c r="DM166" i="2"/>
  <c r="DL152" i="2"/>
  <c r="DK156" i="2"/>
  <c r="DJ151" i="2"/>
  <c r="DJ131" i="2"/>
  <c r="DI159" i="2"/>
  <c r="DI141" i="2"/>
  <c r="DH153" i="2"/>
  <c r="DH135" i="2"/>
  <c r="DG163" i="2"/>
  <c r="DG145" i="2"/>
  <c r="DG117" i="2"/>
  <c r="EE143" i="2"/>
  <c r="EC135" i="2"/>
  <c r="DV161" i="2"/>
  <c r="DU158" i="2"/>
  <c r="DT130" i="2"/>
  <c r="DS144" i="2"/>
  <c r="DR163" i="2"/>
  <c r="DQ131" i="2"/>
  <c r="DP151" i="2"/>
  <c r="DN141" i="2"/>
  <c r="DM165" i="2"/>
  <c r="DL150" i="2"/>
  <c r="DK155" i="2"/>
  <c r="DK113" i="2"/>
  <c r="DJ150" i="2"/>
  <c r="DJ130" i="2"/>
  <c r="DI158" i="2"/>
  <c r="DI140" i="2"/>
  <c r="DH152" i="2"/>
  <c r="DH133" i="2"/>
  <c r="DG162" i="2"/>
  <c r="DG144" i="2"/>
  <c r="DX158" i="2"/>
  <c r="DV144" i="2"/>
  <c r="DU156" i="2"/>
  <c r="DT113" i="2"/>
  <c r="DS142" i="2"/>
  <c r="DR157" i="2"/>
  <c r="DP143" i="2"/>
  <c r="DO162" i="2"/>
  <c r="DN138" i="2"/>
  <c r="DM159" i="2"/>
  <c r="DL149" i="2"/>
  <c r="DK154" i="2"/>
  <c r="DJ166" i="2"/>
  <c r="DJ149" i="2"/>
  <c r="DI157" i="2"/>
  <c r="DI139" i="2"/>
  <c r="DI109" i="2"/>
  <c r="DH151" i="2"/>
  <c r="DH132" i="2"/>
  <c r="DG161" i="2"/>
  <c r="DG143" i="2"/>
  <c r="DG114" i="2"/>
  <c r="DF155" i="2"/>
  <c r="DF137" i="2"/>
  <c r="DE165" i="2"/>
  <c r="DE149" i="2"/>
  <c r="DE130" i="2"/>
  <c r="DD159" i="2"/>
  <c r="DD141" i="2"/>
  <c r="DC153" i="2"/>
  <c r="DC135" i="2"/>
  <c r="EE114" i="2"/>
  <c r="DX157" i="2"/>
  <c r="DV143" i="2"/>
  <c r="DU155" i="2"/>
  <c r="DS141" i="2"/>
  <c r="DR156" i="2"/>
  <c r="DQ117" i="2"/>
  <c r="DP142" i="2"/>
  <c r="DO161" i="2"/>
  <c r="DN137" i="2"/>
  <c r="DM158" i="2"/>
  <c r="DL145" i="2"/>
  <c r="DK153" i="2"/>
  <c r="DK109" i="2"/>
  <c r="DJ165" i="2"/>
  <c r="DJ148" i="2"/>
  <c r="DJ117" i="2"/>
  <c r="DI156" i="2"/>
  <c r="DI138" i="2"/>
  <c r="DH166" i="2"/>
  <c r="DH150" i="2"/>
  <c r="DH131" i="2"/>
  <c r="DG160" i="2"/>
  <c r="DG142" i="2"/>
  <c r="DG113" i="2"/>
  <c r="DF154" i="2"/>
  <c r="DF136" i="2"/>
  <c r="DE148" i="2"/>
  <c r="DD158" i="2"/>
  <c r="DD140" i="2"/>
  <c r="DC152" i="2"/>
  <c r="DC133" i="2"/>
  <c r="DB162" i="2"/>
  <c r="DB144" i="2"/>
  <c r="DA156" i="2"/>
  <c r="DA138" i="2"/>
  <c r="CZ166" i="2"/>
  <c r="CZ150" i="2"/>
  <c r="CZ131" i="2"/>
  <c r="CY160" i="2"/>
  <c r="CY142" i="2"/>
  <c r="CY113" i="2"/>
  <c r="CY94" i="2"/>
  <c r="CX154" i="2"/>
  <c r="CX136" i="2"/>
  <c r="CW164" i="2"/>
  <c r="CW148" i="2"/>
  <c r="CV158" i="2"/>
  <c r="CV140" i="2"/>
  <c r="CV90" i="2"/>
  <c r="CU152" i="2"/>
  <c r="CU133" i="2"/>
  <c r="CT162" i="2"/>
  <c r="CT144" i="2"/>
  <c r="CS156" i="2"/>
  <c r="EB166" i="2"/>
  <c r="DZ154" i="2"/>
  <c r="DX140" i="2"/>
  <c r="DV138" i="2"/>
  <c r="DU150" i="2"/>
  <c r="DT166" i="2"/>
  <c r="DS136" i="2"/>
  <c r="DR154" i="2"/>
  <c r="DP140" i="2"/>
  <c r="DO155" i="2"/>
  <c r="DN130" i="2"/>
  <c r="DM156" i="2"/>
  <c r="DL144" i="2"/>
  <c r="DK152" i="2"/>
  <c r="DJ145" i="2"/>
  <c r="DI155" i="2"/>
  <c r="DI137" i="2"/>
  <c r="DH165" i="2"/>
  <c r="DH149" i="2"/>
  <c r="DH130" i="2"/>
  <c r="DG159" i="2"/>
  <c r="DG141" i="2"/>
  <c r="DF153" i="2"/>
  <c r="DF135" i="2"/>
  <c r="DE163" i="2"/>
  <c r="DE145" i="2"/>
  <c r="DE117" i="2"/>
  <c r="DD157" i="2"/>
  <c r="DD139" i="2"/>
  <c r="DD109" i="2"/>
  <c r="DC151" i="2"/>
  <c r="DC132" i="2"/>
  <c r="EB165" i="2"/>
  <c r="DZ153" i="2"/>
  <c r="DX139" i="2"/>
  <c r="DV130" i="2"/>
  <c r="DU149" i="2"/>
  <c r="DT165" i="2"/>
  <c r="DS135" i="2"/>
  <c r="DR153" i="2"/>
  <c r="DQ166" i="2"/>
  <c r="DQ109" i="2"/>
  <c r="DP139" i="2"/>
  <c r="DO154" i="2"/>
  <c r="DM155" i="2"/>
  <c r="DL142" i="2"/>
  <c r="DK145" i="2"/>
  <c r="DJ163" i="2"/>
  <c r="DJ144" i="2"/>
  <c r="DJ113" i="2"/>
  <c r="DI154" i="2"/>
  <c r="DI136" i="2"/>
  <c r="DH148" i="2"/>
  <c r="DG158" i="2"/>
  <c r="DG140" i="2"/>
  <c r="DF152" i="2"/>
  <c r="DF133" i="2"/>
  <c r="DE162" i="2"/>
  <c r="DE144" i="2"/>
  <c r="DD156" i="2"/>
  <c r="DD138" i="2"/>
  <c r="DC166" i="2"/>
  <c r="DC150" i="2"/>
  <c r="DC131" i="2"/>
  <c r="DB160" i="2"/>
  <c r="DB142" i="2"/>
  <c r="DB113" i="2"/>
  <c r="DA154" i="2"/>
  <c r="DA136" i="2"/>
  <c r="CZ164" i="2"/>
  <c r="CZ148" i="2"/>
  <c r="CY158" i="2"/>
  <c r="CY140" i="2"/>
  <c r="CX152" i="2"/>
  <c r="CX133" i="2"/>
  <c r="CW162" i="2"/>
  <c r="CW144" i="2"/>
  <c r="CV156" i="2"/>
  <c r="CV138" i="2"/>
  <c r="CU166" i="2"/>
  <c r="CU150" i="2"/>
  <c r="CU131" i="2"/>
  <c r="CU101" i="2"/>
  <c r="CT160" i="2"/>
  <c r="CT142" i="2"/>
  <c r="CT113" i="2"/>
  <c r="CT94" i="2"/>
  <c r="CS154" i="2"/>
  <c r="CS136" i="2"/>
  <c r="EF166" i="2"/>
  <c r="ED158" i="2"/>
  <c r="EB150" i="2"/>
  <c r="DZ136" i="2"/>
  <c r="DU141" i="2"/>
  <c r="DT160" i="2"/>
  <c r="DS117" i="2"/>
  <c r="DR148" i="2"/>
  <c r="DP133" i="2"/>
  <c r="DO152" i="2"/>
  <c r="DN165" i="2"/>
  <c r="DM153" i="2"/>
  <c r="DL141" i="2"/>
  <c r="DK144" i="2"/>
  <c r="DJ162" i="2"/>
  <c r="DJ142" i="2"/>
  <c r="DI153" i="2"/>
  <c r="DI135" i="2"/>
  <c r="DH163" i="2"/>
  <c r="DH145" i="2"/>
  <c r="DH117" i="2"/>
  <c r="DG157" i="2"/>
  <c r="DG139" i="2"/>
  <c r="DG109" i="2"/>
  <c r="DF151" i="2"/>
  <c r="DF132" i="2"/>
  <c r="DE161" i="2"/>
  <c r="DE143" i="2"/>
  <c r="DE114" i="2"/>
  <c r="DD155" i="2"/>
  <c r="DD137" i="2"/>
  <c r="DC165" i="2"/>
  <c r="DC149" i="2"/>
  <c r="DC130" i="2"/>
  <c r="DB159" i="2"/>
  <c r="DB141" i="2"/>
  <c r="EF165" i="2"/>
  <c r="ED157" i="2"/>
  <c r="EB149" i="2"/>
  <c r="DZ135" i="2"/>
  <c r="DX109" i="2"/>
  <c r="DV114" i="2"/>
  <c r="DU140" i="2"/>
  <c r="DT159" i="2"/>
  <c r="DR145" i="2"/>
  <c r="DQ163" i="2"/>
  <c r="DP132" i="2"/>
  <c r="DO151" i="2"/>
  <c r="DN114" i="2"/>
  <c r="DM150" i="2"/>
  <c r="DL140" i="2"/>
  <c r="DK142" i="2"/>
  <c r="DJ160" i="2"/>
  <c r="DJ141" i="2"/>
  <c r="DI152" i="2"/>
  <c r="DI133" i="2"/>
  <c r="DH162" i="2"/>
  <c r="DH144" i="2"/>
  <c r="DG156" i="2"/>
  <c r="DG138" i="2"/>
  <c r="DF166" i="2"/>
  <c r="DF150" i="2"/>
  <c r="DF131" i="2"/>
  <c r="DE160" i="2"/>
  <c r="DE142" i="2"/>
  <c r="DE113" i="2"/>
  <c r="DD154" i="2"/>
  <c r="DD136" i="2"/>
  <c r="DC148" i="2"/>
  <c r="DB158" i="2"/>
  <c r="DB140" i="2"/>
  <c r="DA152" i="2"/>
  <c r="DA133" i="2"/>
  <c r="CZ162" i="2"/>
  <c r="CZ144" i="2"/>
  <c r="CY156" i="2"/>
  <c r="CY138" i="2"/>
  <c r="CX166" i="2"/>
  <c r="CX150" i="2"/>
  <c r="CX131" i="2"/>
  <c r="CW160" i="2"/>
  <c r="CW142" i="2"/>
  <c r="CW113" i="2"/>
  <c r="CW94" i="2"/>
  <c r="CV154" i="2"/>
  <c r="CV136" i="2"/>
  <c r="CV105" i="2"/>
  <c r="CU164" i="2"/>
  <c r="CU148" i="2"/>
  <c r="EF150" i="2"/>
  <c r="ED140" i="2"/>
  <c r="EB131" i="2"/>
  <c r="DU138" i="2"/>
  <c r="DT153" i="2"/>
  <c r="DS113" i="2"/>
  <c r="DR139" i="2"/>
  <c r="DQ158" i="2"/>
  <c r="DP114" i="2"/>
  <c r="DO144" i="2"/>
  <c r="DN162" i="2"/>
  <c r="DM149" i="2"/>
  <c r="DL135" i="2"/>
  <c r="DK141" i="2"/>
  <c r="DJ159" i="2"/>
  <c r="DJ140" i="2"/>
  <c r="DJ109" i="2"/>
  <c r="DI151" i="2"/>
  <c r="DI132" i="2"/>
  <c r="DH161" i="2"/>
  <c r="DH143" i="2"/>
  <c r="DH114" i="2"/>
  <c r="DG155" i="2"/>
  <c r="EF149" i="2"/>
  <c r="ED139" i="2"/>
  <c r="EB130" i="2"/>
  <c r="DU137" i="2"/>
  <c r="DT152" i="2"/>
  <c r="DR138" i="2"/>
  <c r="DQ157" i="2"/>
  <c r="DP113" i="2"/>
  <c r="DO143" i="2"/>
  <c r="DN161" i="2"/>
  <c r="DM141" i="2"/>
  <c r="DL166" i="2"/>
  <c r="DL133" i="2"/>
  <c r="DK139" i="2"/>
  <c r="DJ158" i="2"/>
  <c r="DJ139" i="2"/>
  <c r="DI166" i="2"/>
  <c r="DI150" i="2"/>
  <c r="DI131" i="2"/>
  <c r="DH160" i="2"/>
  <c r="DH142" i="2"/>
  <c r="DH113" i="2"/>
  <c r="DG154" i="2"/>
  <c r="DG136" i="2"/>
  <c r="DF148" i="2"/>
  <c r="DE158" i="2"/>
  <c r="DE140" i="2"/>
  <c r="DD152" i="2"/>
  <c r="DD133" i="2"/>
  <c r="EF131" i="2"/>
  <c r="DW152" i="2"/>
  <c r="DU131" i="2"/>
  <c r="DT150" i="2"/>
  <c r="DS163" i="2"/>
  <c r="DR136" i="2"/>
  <c r="DQ151" i="2"/>
  <c r="DO137" i="2"/>
  <c r="DN159" i="2"/>
  <c r="DM140" i="2"/>
  <c r="DL165" i="2"/>
  <c r="DL131" i="2"/>
  <c r="DK138" i="2"/>
  <c r="DJ157" i="2"/>
  <c r="DJ138" i="2"/>
  <c r="DI165" i="2"/>
  <c r="DI149" i="2"/>
  <c r="DI130" i="2"/>
  <c r="DH159" i="2"/>
  <c r="DH141" i="2"/>
  <c r="DG153" i="2"/>
  <c r="DG135" i="2"/>
  <c r="DF163" i="2"/>
  <c r="DF145" i="2"/>
  <c r="DF117" i="2"/>
  <c r="DE157" i="2"/>
  <c r="DE139" i="2"/>
  <c r="DE109" i="2"/>
  <c r="DD151" i="2"/>
  <c r="DD132" i="2"/>
  <c r="DC161" i="2"/>
  <c r="DC143" i="2"/>
  <c r="DC114" i="2"/>
  <c r="DB155" i="2"/>
  <c r="DB137" i="2"/>
  <c r="DA165" i="2"/>
  <c r="DA149" i="2"/>
  <c r="DA130" i="2"/>
  <c r="CZ159" i="2"/>
  <c r="CZ141" i="2"/>
  <c r="CY153" i="2"/>
  <c r="CY135" i="2"/>
  <c r="CX163" i="2"/>
  <c r="CX145" i="2"/>
  <c r="CX117" i="2"/>
  <c r="CW157" i="2"/>
  <c r="CW139" i="2"/>
  <c r="CW109" i="2"/>
  <c r="CV151" i="2"/>
  <c r="CV132" i="2"/>
  <c r="CV102" i="2"/>
  <c r="CU161" i="2"/>
  <c r="CU143" i="2"/>
  <c r="CU114" i="2"/>
  <c r="CU95" i="2"/>
  <c r="CT155" i="2"/>
  <c r="CT137" i="2"/>
  <c r="EF130" i="2"/>
  <c r="ED109" i="2"/>
  <c r="DY163" i="2"/>
  <c r="DW151" i="2"/>
  <c r="DU130" i="2"/>
  <c r="DT149" i="2"/>
  <c r="DS162" i="2"/>
  <c r="DR135" i="2"/>
  <c r="DQ150" i="2"/>
  <c r="DP109" i="2"/>
  <c r="DO136" i="2"/>
  <c r="DN156" i="2"/>
  <c r="DM138" i="2"/>
  <c r="DL163" i="2"/>
  <c r="DL130" i="2"/>
  <c r="DK163" i="2"/>
  <c r="DK137" i="2"/>
  <c r="DJ156" i="2"/>
  <c r="DJ137" i="2"/>
  <c r="DI148" i="2"/>
  <c r="DH158" i="2"/>
  <c r="DH140" i="2"/>
  <c r="DG152" i="2"/>
  <c r="DG133" i="2"/>
  <c r="DF162" i="2"/>
  <c r="DF144" i="2"/>
  <c r="DE156" i="2"/>
  <c r="DE138" i="2"/>
  <c r="DD166" i="2"/>
  <c r="DD150" i="2"/>
  <c r="DD131" i="2"/>
  <c r="DC160" i="2"/>
  <c r="DC142" i="2"/>
  <c r="DC113" i="2"/>
  <c r="DB154" i="2"/>
  <c r="DB136" i="2"/>
  <c r="DA148" i="2"/>
  <c r="CZ158" i="2"/>
  <c r="CZ140" i="2"/>
  <c r="CY152" i="2"/>
  <c r="CY133" i="2"/>
  <c r="CX162" i="2"/>
  <c r="CX144" i="2"/>
  <c r="EE162" i="2"/>
  <c r="EC154" i="2"/>
  <c r="EA142" i="2"/>
  <c r="DU166" i="2"/>
  <c r="DT135" i="2"/>
  <c r="DS154" i="2"/>
  <c r="DR109" i="2"/>
  <c r="DQ140" i="2"/>
  <c r="DP158" i="2"/>
  <c r="DN148" i="2"/>
  <c r="DM131" i="2"/>
  <c r="DL159" i="2"/>
  <c r="DL113" i="2"/>
  <c r="DK159" i="2"/>
  <c r="DK133" i="2"/>
  <c r="DJ153" i="2"/>
  <c r="DJ133" i="2"/>
  <c r="DI161" i="2"/>
  <c r="DI143" i="2"/>
  <c r="DI114" i="2"/>
  <c r="DH155" i="2"/>
  <c r="DH137" i="2"/>
  <c r="DG165" i="2"/>
  <c r="DG149" i="2"/>
  <c r="DG130" i="2"/>
  <c r="DF159" i="2"/>
  <c r="DF141" i="2"/>
  <c r="DE153" i="2"/>
  <c r="DE135" i="2"/>
  <c r="DD163" i="2"/>
  <c r="DD145" i="2"/>
  <c r="DD117" i="2"/>
  <c r="DC157" i="2"/>
  <c r="DC139" i="2"/>
  <c r="DC109" i="2"/>
  <c r="DB151" i="2"/>
  <c r="DB132" i="2"/>
  <c r="DA161" i="2"/>
  <c r="DA143" i="2"/>
  <c r="DA114" i="2"/>
  <c r="DA95" i="2"/>
  <c r="CZ155" i="2"/>
  <c r="CZ137" i="2"/>
  <c r="EE161" i="2"/>
  <c r="EC153" i="2"/>
  <c r="EA141" i="2"/>
  <c r="DY117" i="2"/>
  <c r="DU165" i="2"/>
  <c r="DT133" i="2"/>
  <c r="DS153" i="2"/>
  <c r="DQ139" i="2"/>
  <c r="DP157" i="2"/>
  <c r="DO114" i="2"/>
  <c r="DN144" i="2"/>
  <c r="DM130" i="2"/>
  <c r="DL153" i="2"/>
  <c r="DK157" i="2"/>
  <c r="DK117" i="2"/>
  <c r="DJ152" i="2"/>
  <c r="DJ132" i="2"/>
  <c r="DI160" i="2"/>
  <c r="DI142" i="2"/>
  <c r="DI113" i="2"/>
  <c r="DK136" i="2"/>
  <c r="DG150" i="2"/>
  <c r="DF158" i="2"/>
  <c r="DE131" i="2"/>
  <c r="DD144" i="2"/>
  <c r="DC163" i="2"/>
  <c r="DB156" i="2"/>
  <c r="DB114" i="2"/>
  <c r="DA159" i="2"/>
  <c r="DA131" i="2"/>
  <c r="CZ138" i="2"/>
  <c r="CY150" i="2"/>
  <c r="CY114" i="2"/>
  <c r="CX161" i="2"/>
  <c r="CX138" i="2"/>
  <c r="CW153" i="2"/>
  <c r="CW130" i="2"/>
  <c r="CW90" i="2"/>
  <c r="CV145" i="2"/>
  <c r="CU162" i="2"/>
  <c r="CU139" i="2"/>
  <c r="CT158" i="2"/>
  <c r="CT136" i="2"/>
  <c r="CS160" i="2"/>
  <c r="CS140" i="2"/>
  <c r="CS109" i="2"/>
  <c r="CR167" i="2"/>
  <c r="CR151" i="2"/>
  <c r="CR132" i="2"/>
  <c r="CR102" i="2"/>
  <c r="CQ161" i="2"/>
  <c r="CQ143" i="2"/>
  <c r="CQ114" i="2"/>
  <c r="CQ95" i="2"/>
  <c r="CP155" i="2"/>
  <c r="CP137" i="2"/>
  <c r="CP106" i="2"/>
  <c r="CO165" i="2"/>
  <c r="CO149" i="2"/>
  <c r="CO130" i="2"/>
  <c r="CN159" i="2"/>
  <c r="CN141" i="2"/>
  <c r="CM153" i="2"/>
  <c r="CM135" i="2"/>
  <c r="CL163" i="2"/>
  <c r="CL145" i="2"/>
  <c r="CL117" i="2"/>
  <c r="CK157" i="2"/>
  <c r="CK139" i="2"/>
  <c r="CK109" i="2"/>
  <c r="CJ167" i="2"/>
  <c r="DK135" i="2"/>
  <c r="DG148" i="2"/>
  <c r="DF157" i="2"/>
  <c r="DD143" i="2"/>
  <c r="DC162" i="2"/>
  <c r="DB153" i="2"/>
  <c r="DB109" i="2"/>
  <c r="DA158" i="2"/>
  <c r="DA117" i="2"/>
  <c r="CZ165" i="2"/>
  <c r="CZ136" i="2"/>
  <c r="CY149" i="2"/>
  <c r="CX160" i="2"/>
  <c r="CX137" i="2"/>
  <c r="CW152" i="2"/>
  <c r="CW117" i="2"/>
  <c r="CV166" i="2"/>
  <c r="CV144" i="2"/>
  <c r="CV109" i="2"/>
  <c r="CU160" i="2"/>
  <c r="CU138" i="2"/>
  <c r="CU102" i="2"/>
  <c r="CT157" i="2"/>
  <c r="CT135" i="2"/>
  <c r="CT102" i="2"/>
  <c r="CS159" i="2"/>
  <c r="CS139" i="2"/>
  <c r="CR166" i="2"/>
  <c r="CR150" i="2"/>
  <c r="CR131" i="2"/>
  <c r="CR101" i="2"/>
  <c r="CQ160" i="2"/>
  <c r="CQ142" i="2"/>
  <c r="CQ113" i="2"/>
  <c r="CQ94" i="2"/>
  <c r="CP154" i="2"/>
  <c r="CP136" i="2"/>
  <c r="CP105" i="2"/>
  <c r="CO164" i="2"/>
  <c r="CO148" i="2"/>
  <c r="CN158" i="2"/>
  <c r="CN140" i="2"/>
  <c r="CN90" i="2"/>
  <c r="CM152" i="2"/>
  <c r="CM133" i="2"/>
  <c r="CL162" i="2"/>
  <c r="CL144" i="2"/>
  <c r="CK156" i="2"/>
  <c r="CK138" i="2"/>
  <c r="CJ166" i="2"/>
  <c r="CJ150" i="2"/>
  <c r="CJ131" i="2"/>
  <c r="CJ101" i="2"/>
  <c r="CI160" i="2"/>
  <c r="CI142" i="2"/>
  <c r="CI113" i="2"/>
  <c r="CI94" i="2"/>
  <c r="CH154" i="2"/>
  <c r="CH136" i="2"/>
  <c r="CH105" i="2"/>
  <c r="CW191" i="2"/>
  <c r="CQ173" i="2"/>
  <c r="CM194" i="2"/>
  <c r="CK195" i="2"/>
  <c r="CJ181" i="2"/>
  <c r="CI179" i="2"/>
  <c r="CH178" i="2"/>
  <c r="DO133" i="2"/>
  <c r="DG137" i="2"/>
  <c r="DF156" i="2"/>
  <c r="DD142" i="2"/>
  <c r="DC159" i="2"/>
  <c r="DB152" i="2"/>
  <c r="DA157" i="2"/>
  <c r="CZ163" i="2"/>
  <c r="CZ135" i="2"/>
  <c r="CZ95" i="2"/>
  <c r="CY148" i="2"/>
  <c r="CY109" i="2"/>
  <c r="CX159" i="2"/>
  <c r="CX135" i="2"/>
  <c r="CX95" i="2"/>
  <c r="CW151" i="2"/>
  <c r="CW114" i="2"/>
  <c r="CV165" i="2"/>
  <c r="CV143" i="2"/>
  <c r="CV106" i="2"/>
  <c r="CU159" i="2"/>
  <c r="CU137" i="2"/>
  <c r="CT156" i="2"/>
  <c r="CT133" i="2"/>
  <c r="CT101" i="2"/>
  <c r="CS158" i="2"/>
  <c r="CS138" i="2"/>
  <c r="CS106" i="2"/>
  <c r="CR165" i="2"/>
  <c r="CR149" i="2"/>
  <c r="CR130" i="2"/>
  <c r="CQ159" i="2"/>
  <c r="CQ141" i="2"/>
  <c r="CP153" i="2"/>
  <c r="CP135" i="2"/>
  <c r="CO163" i="2"/>
  <c r="CO145" i="2"/>
  <c r="CO117" i="2"/>
  <c r="CN157" i="2"/>
  <c r="CN139" i="2"/>
  <c r="CN109" i="2"/>
  <c r="CM167" i="2"/>
  <c r="CM151" i="2"/>
  <c r="CM132" i="2"/>
  <c r="CM102" i="2"/>
  <c r="CL161" i="2"/>
  <c r="CL143" i="2"/>
  <c r="CL114" i="2"/>
  <c r="CL95" i="2"/>
  <c r="CK155" i="2"/>
  <c r="CK137" i="2"/>
  <c r="CK106" i="2"/>
  <c r="CJ165" i="2"/>
  <c r="CJ149" i="2"/>
  <c r="CJ130" i="2"/>
  <c r="CJ100" i="2"/>
  <c r="CI159" i="2"/>
  <c r="CI141" i="2"/>
  <c r="DO132" i="2"/>
  <c r="DH157" i="2"/>
  <c r="DG132" i="2"/>
  <c r="DF149" i="2"/>
  <c r="DD135" i="2"/>
  <c r="DC158" i="2"/>
  <c r="DB150" i="2"/>
  <c r="DA155" i="2"/>
  <c r="DA113" i="2"/>
  <c r="CZ161" i="2"/>
  <c r="CZ133" i="2"/>
  <c r="CZ94" i="2"/>
  <c r="CY145" i="2"/>
  <c r="CX158" i="2"/>
  <c r="CX132" i="2"/>
  <c r="CX94" i="2"/>
  <c r="CW150" i="2"/>
  <c r="CV164" i="2"/>
  <c r="CV142" i="2"/>
  <c r="CU158" i="2"/>
  <c r="CU136" i="2"/>
  <c r="CT154" i="2"/>
  <c r="CT132" i="2"/>
  <c r="CS157" i="2"/>
  <c r="CS137" i="2"/>
  <c r="CS105" i="2"/>
  <c r="CR164" i="2"/>
  <c r="CR148" i="2"/>
  <c r="CQ158" i="2"/>
  <c r="CQ140" i="2"/>
  <c r="CQ90" i="2"/>
  <c r="CP152" i="2"/>
  <c r="CP133" i="2"/>
  <c r="CO162" i="2"/>
  <c r="CO144" i="2"/>
  <c r="CN156" i="2"/>
  <c r="CN138" i="2"/>
  <c r="CM166" i="2"/>
  <c r="CM150" i="2"/>
  <c r="CM131" i="2"/>
  <c r="CM101" i="2"/>
  <c r="CL160" i="2"/>
  <c r="CL142" i="2"/>
  <c r="CL113" i="2"/>
  <c r="CL94" i="2"/>
  <c r="CK154" i="2"/>
  <c r="CK136" i="2"/>
  <c r="CK105" i="2"/>
  <c r="CJ164" i="2"/>
  <c r="CJ148" i="2"/>
  <c r="CJ99" i="2"/>
  <c r="CI158" i="2"/>
  <c r="CI140" i="2"/>
  <c r="CI90" i="2"/>
  <c r="CH152" i="2"/>
  <c r="CH133" i="2"/>
  <c r="DT142" i="2"/>
  <c r="DN155" i="2"/>
  <c r="DJ155" i="2"/>
  <c r="DH156" i="2"/>
  <c r="DG131" i="2"/>
  <c r="DF143" i="2"/>
  <c r="DE166" i="2"/>
  <c r="DD130" i="2"/>
  <c r="DC156" i="2"/>
  <c r="DB149" i="2"/>
  <c r="DA153" i="2"/>
  <c r="CZ160" i="2"/>
  <c r="CZ132" i="2"/>
  <c r="CY144" i="2"/>
  <c r="CX157" i="2"/>
  <c r="CX130" i="2"/>
  <c r="CW149" i="2"/>
  <c r="CV163" i="2"/>
  <c r="CV141" i="2"/>
  <c r="CU157" i="2"/>
  <c r="CU135" i="2"/>
  <c r="CT153" i="2"/>
  <c r="CT131" i="2"/>
  <c r="CS155" i="2"/>
  <c r="CS135" i="2"/>
  <c r="CR163" i="2"/>
  <c r="CR145" i="2"/>
  <c r="CR117" i="2"/>
  <c r="CQ157" i="2"/>
  <c r="CQ139" i="2"/>
  <c r="CQ109" i="2"/>
  <c r="CP167" i="2"/>
  <c r="CP151" i="2"/>
  <c r="CP132" i="2"/>
  <c r="CP102" i="2"/>
  <c r="CO161" i="2"/>
  <c r="CO143" i="2"/>
  <c r="CO114" i="2"/>
  <c r="CO95" i="2"/>
  <c r="CN155" i="2"/>
  <c r="CN137" i="2"/>
  <c r="CN106" i="2"/>
  <c r="CM165" i="2"/>
  <c r="CM149" i="2"/>
  <c r="CM130" i="2"/>
  <c r="CM100" i="2"/>
  <c r="CL159" i="2"/>
  <c r="CL141" i="2"/>
  <c r="CK153" i="2"/>
  <c r="CK135" i="2"/>
  <c r="CJ163" i="2"/>
  <c r="CJ145" i="2"/>
  <c r="CJ117" i="2"/>
  <c r="CI157" i="2"/>
  <c r="CI139" i="2"/>
  <c r="CI109" i="2"/>
  <c r="CH167" i="2"/>
  <c r="CH151" i="2"/>
  <c r="CH132" i="2"/>
  <c r="CH102" i="2"/>
  <c r="DT141" i="2"/>
  <c r="DN149" i="2"/>
  <c r="DJ154" i="2"/>
  <c r="DH154" i="2"/>
  <c r="DF142" i="2"/>
  <c r="DE159" i="2"/>
  <c r="DC155" i="2"/>
  <c r="DB148" i="2"/>
  <c r="DA151" i="2"/>
  <c r="CZ157" i="2"/>
  <c r="CZ130" i="2"/>
  <c r="CY166" i="2"/>
  <c r="CY143" i="2"/>
  <c r="CX156" i="2"/>
  <c r="CW145" i="2"/>
  <c r="CV162" i="2"/>
  <c r="CV139" i="2"/>
  <c r="CV101" i="2"/>
  <c r="CU156" i="2"/>
  <c r="CU132" i="2"/>
  <c r="CT152" i="2"/>
  <c r="CT130" i="2"/>
  <c r="CS153" i="2"/>
  <c r="CS133" i="2"/>
  <c r="CR162" i="2"/>
  <c r="CR144" i="2"/>
  <c r="CQ156" i="2"/>
  <c r="CQ138" i="2"/>
  <c r="CP166" i="2"/>
  <c r="CP150" i="2"/>
  <c r="CP131" i="2"/>
  <c r="CP101" i="2"/>
  <c r="CO160" i="2"/>
  <c r="CO142" i="2"/>
  <c r="CO113" i="2"/>
  <c r="CO94" i="2"/>
  <c r="CN154" i="2"/>
  <c r="CN136" i="2"/>
  <c r="CN105" i="2"/>
  <c r="CM164" i="2"/>
  <c r="CM148" i="2"/>
  <c r="CL158" i="2"/>
  <c r="CL140" i="2"/>
  <c r="CL90" i="2"/>
  <c r="CK152" i="2"/>
  <c r="CK133" i="2"/>
  <c r="CJ162" i="2"/>
  <c r="CJ144" i="2"/>
  <c r="CI156" i="2"/>
  <c r="CI138" i="2"/>
  <c r="CH166" i="2"/>
  <c r="CH150" i="2"/>
  <c r="CH131" i="2"/>
  <c r="CH101" i="2"/>
  <c r="CU177" i="2"/>
  <c r="CP179" i="2"/>
  <c r="CM177" i="2"/>
  <c r="CK188" i="2"/>
  <c r="CJ173" i="2"/>
  <c r="CI173" i="2"/>
  <c r="CH173" i="2"/>
  <c r="EF177" i="2"/>
  <c r="DS160" i="2"/>
  <c r="DJ136" i="2"/>
  <c r="DH139" i="2"/>
  <c r="DF140" i="2"/>
  <c r="DE155" i="2"/>
  <c r="DC154" i="2"/>
  <c r="DB145" i="2"/>
  <c r="DA150" i="2"/>
  <c r="DA109" i="2"/>
  <c r="CZ156" i="2"/>
  <c r="CZ117" i="2"/>
  <c r="CY165" i="2"/>
  <c r="CY141" i="2"/>
  <c r="CX155" i="2"/>
  <c r="CX114" i="2"/>
  <c r="CW143" i="2"/>
  <c r="CW106" i="2"/>
  <c r="CV161" i="2"/>
  <c r="CV137" i="2"/>
  <c r="CU155" i="2"/>
  <c r="CU130" i="2"/>
  <c r="CU94" i="2"/>
  <c r="CT151" i="2"/>
  <c r="CT95" i="2"/>
  <c r="CS152" i="2"/>
  <c r="CS132" i="2"/>
  <c r="CS102" i="2"/>
  <c r="CR161" i="2"/>
  <c r="CR143" i="2"/>
  <c r="CR114" i="2"/>
  <c r="CR95" i="2"/>
  <c r="CQ155" i="2"/>
  <c r="CQ137" i="2"/>
  <c r="CQ106" i="2"/>
  <c r="CP165" i="2"/>
  <c r="CP149" i="2"/>
  <c r="CP130" i="2"/>
  <c r="CO159" i="2"/>
  <c r="CO141" i="2"/>
  <c r="CN153" i="2"/>
  <c r="CN135" i="2"/>
  <c r="CM163" i="2"/>
  <c r="CM145" i="2"/>
  <c r="CM117" i="2"/>
  <c r="CL157" i="2"/>
  <c r="CL139" i="2"/>
  <c r="CL109" i="2"/>
  <c r="CK167" i="2"/>
  <c r="CK151" i="2"/>
  <c r="CK132" i="2"/>
  <c r="CK102" i="2"/>
  <c r="CJ161" i="2"/>
  <c r="CJ143" i="2"/>
  <c r="CJ114" i="2"/>
  <c r="CJ95" i="2"/>
  <c r="CI155" i="2"/>
  <c r="CI137" i="2"/>
  <c r="CI106" i="2"/>
  <c r="CH165" i="2"/>
  <c r="CH149" i="2"/>
  <c r="CH130" i="2"/>
  <c r="CH100" i="2"/>
  <c r="CU176" i="2"/>
  <c r="CO193" i="2"/>
  <c r="CM175" i="2"/>
  <c r="CK182" i="2"/>
  <c r="CJ87" i="2"/>
  <c r="CI87" i="2"/>
  <c r="CH87" i="2"/>
  <c r="DS159" i="2"/>
  <c r="DJ135" i="2"/>
  <c r="DH138" i="2"/>
  <c r="DF139" i="2"/>
  <c r="DE154" i="2"/>
  <c r="DD114" i="2"/>
  <c r="DC145" i="2"/>
  <c r="DB143" i="2"/>
  <c r="DA145" i="2"/>
  <c r="CZ154" i="2"/>
  <c r="CZ114" i="2"/>
  <c r="CY164" i="2"/>
  <c r="CY139" i="2"/>
  <c r="CX153" i="2"/>
  <c r="CX113" i="2"/>
  <c r="CW166" i="2"/>
  <c r="CW141" i="2"/>
  <c r="CW105" i="2"/>
  <c r="CV160" i="2"/>
  <c r="CV135" i="2"/>
  <c r="CU154" i="2"/>
  <c r="CU117" i="2"/>
  <c r="CT150" i="2"/>
  <c r="CT117" i="2"/>
  <c r="CS151" i="2"/>
  <c r="CS131" i="2"/>
  <c r="CS101" i="2"/>
  <c r="CR160" i="2"/>
  <c r="CR142" i="2"/>
  <c r="CR113" i="2"/>
  <c r="CR94" i="2"/>
  <c r="CQ154" i="2"/>
  <c r="CQ136" i="2"/>
  <c r="CQ105" i="2"/>
  <c r="CP164" i="2"/>
  <c r="CP148" i="2"/>
  <c r="CO158" i="2"/>
  <c r="CO140" i="2"/>
  <c r="CO90" i="2"/>
  <c r="CN152" i="2"/>
  <c r="CN133" i="2"/>
  <c r="CM162" i="2"/>
  <c r="CM144" i="2"/>
  <c r="CL156" i="2"/>
  <c r="CL138" i="2"/>
  <c r="CK166" i="2"/>
  <c r="CK150" i="2"/>
  <c r="CK131" i="2"/>
  <c r="CK101" i="2"/>
  <c r="CJ160" i="2"/>
  <c r="CJ142" i="2"/>
  <c r="CJ113" i="2"/>
  <c r="CJ94" i="2"/>
  <c r="CI154" i="2"/>
  <c r="CI136" i="2"/>
  <c r="CI105" i="2"/>
  <c r="CH164" i="2"/>
  <c r="CH148" i="2"/>
  <c r="CH99" i="2"/>
  <c r="CT188" i="2"/>
  <c r="CO192" i="2"/>
  <c r="CM87" i="2"/>
  <c r="CK181" i="2"/>
  <c r="DM137" i="2"/>
  <c r="DH136" i="2"/>
  <c r="DF138" i="2"/>
  <c r="DE152" i="2"/>
  <c r="DD165" i="2"/>
  <c r="DD113" i="2"/>
  <c r="DC144" i="2"/>
  <c r="DB139" i="2"/>
  <c r="DA144" i="2"/>
  <c r="CZ153" i="2"/>
  <c r="CZ113" i="2"/>
  <c r="CY163" i="2"/>
  <c r="CY137" i="2"/>
  <c r="CX151" i="2"/>
  <c r="CW165" i="2"/>
  <c r="CW140" i="2"/>
  <c r="CV159" i="2"/>
  <c r="CV133" i="2"/>
  <c r="CU153" i="2"/>
  <c r="CU90" i="2"/>
  <c r="CT149" i="2"/>
  <c r="CT114" i="2"/>
  <c r="CT90" i="2"/>
  <c r="CS150" i="2"/>
  <c r="CS130" i="2"/>
  <c r="CR159" i="2"/>
  <c r="CR141" i="2"/>
  <c r="CQ153" i="2"/>
  <c r="DM135" i="2"/>
  <c r="DH109" i="2"/>
  <c r="DF130" i="2"/>
  <c r="DE151" i="2"/>
  <c r="DC141" i="2"/>
  <c r="DB138" i="2"/>
  <c r="DA142" i="2"/>
  <c r="CZ152" i="2"/>
  <c r="CZ109" i="2"/>
  <c r="CY162" i="2"/>
  <c r="CY136" i="2"/>
  <c r="CX149" i="2"/>
  <c r="CW163" i="2"/>
  <c r="CW138" i="2"/>
  <c r="CV157" i="2"/>
  <c r="CV131" i="2"/>
  <c r="CU151" i="2"/>
  <c r="CU113" i="2"/>
  <c r="CT167" i="2"/>
  <c r="CT148" i="2"/>
  <c r="CS167" i="2"/>
  <c r="CS149" i="2"/>
  <c r="CR158" i="2"/>
  <c r="CR140" i="2"/>
  <c r="CR90" i="2"/>
  <c r="CQ152" i="2"/>
  <c r="CQ133" i="2"/>
  <c r="CP162" i="2"/>
  <c r="CP144" i="2"/>
  <c r="CO156" i="2"/>
  <c r="CO138" i="2"/>
  <c r="CN166" i="2"/>
  <c r="CN150" i="2"/>
  <c r="CN131" i="2"/>
  <c r="CN101" i="2"/>
  <c r="CM160" i="2"/>
  <c r="CM142" i="2"/>
  <c r="CM113" i="2"/>
  <c r="CM94" i="2"/>
  <c r="CL154" i="2"/>
  <c r="CL136" i="2"/>
  <c r="CL105" i="2"/>
  <c r="CK164" i="2"/>
  <c r="CK148" i="2"/>
  <c r="CK99" i="2"/>
  <c r="CJ158" i="2"/>
  <c r="CJ140" i="2"/>
  <c r="CJ90" i="2"/>
  <c r="CI152" i="2"/>
  <c r="EA160" i="2"/>
  <c r="DL162" i="2"/>
  <c r="DI163" i="2"/>
  <c r="DF114" i="2"/>
  <c r="DE150" i="2"/>
  <c r="DD162" i="2"/>
  <c r="DC140" i="2"/>
  <c r="DB166" i="2"/>
  <c r="DB135" i="2"/>
  <c r="DA141" i="2"/>
  <c r="CZ151" i="2"/>
  <c r="CY161" i="2"/>
  <c r="CY132" i="2"/>
  <c r="CX148" i="2"/>
  <c r="CX109" i="2"/>
  <c r="CW161" i="2"/>
  <c r="CW137" i="2"/>
  <c r="CW102" i="2"/>
  <c r="CV155" i="2"/>
  <c r="CV130" i="2"/>
  <c r="CV95" i="2"/>
  <c r="CU149" i="2"/>
  <c r="CT166" i="2"/>
  <c r="CT145" i="2"/>
  <c r="CS166" i="2"/>
  <c r="CS148" i="2"/>
  <c r="CS117" i="2"/>
  <c r="CR157" i="2"/>
  <c r="CR139" i="2"/>
  <c r="CR109" i="2"/>
  <c r="CQ167" i="2"/>
  <c r="CQ151" i="2"/>
  <c r="CQ132" i="2"/>
  <c r="CQ102" i="2"/>
  <c r="CP161" i="2"/>
  <c r="CP143" i="2"/>
  <c r="CP114" i="2"/>
  <c r="CP95" i="2"/>
  <c r="CO155" i="2"/>
  <c r="CO137" i="2"/>
  <c r="CO106" i="2"/>
  <c r="CN165" i="2"/>
  <c r="CN149" i="2"/>
  <c r="CN130" i="2"/>
  <c r="CM159" i="2"/>
  <c r="CM141" i="2"/>
  <c r="CL153" i="2"/>
  <c r="CL135" i="2"/>
  <c r="CK163" i="2"/>
  <c r="CK145" i="2"/>
  <c r="CK117" i="2"/>
  <c r="CJ157" i="2"/>
  <c r="CJ139" i="2"/>
  <c r="CJ109" i="2"/>
  <c r="CI167" i="2"/>
  <c r="CI151" i="2"/>
  <c r="CI132" i="2"/>
  <c r="CI102" i="2"/>
  <c r="CH161" i="2"/>
  <c r="CH143" i="2"/>
  <c r="CH114" i="2"/>
  <c r="CH95" i="2"/>
  <c r="CS190" i="2"/>
  <c r="CO173" i="2"/>
  <c r="CL193" i="2"/>
  <c r="CI194" i="2"/>
  <c r="CH194" i="2"/>
  <c r="EA159" i="2"/>
  <c r="DR117" i="2"/>
  <c r="DL160" i="2"/>
  <c r="DI162" i="2"/>
  <c r="DF113" i="2"/>
  <c r="DE141" i="2"/>
  <c r="DD161" i="2"/>
  <c r="DC138" i="2"/>
  <c r="DB165" i="2"/>
  <c r="DB133" i="2"/>
  <c r="DA140" i="2"/>
  <c r="CZ149" i="2"/>
  <c r="CY159" i="2"/>
  <c r="CY131" i="2"/>
  <c r="CY95" i="2"/>
  <c r="CX143" i="2"/>
  <c r="CW159" i="2"/>
  <c r="CW136" i="2"/>
  <c r="CW101" i="2"/>
  <c r="CV153" i="2"/>
  <c r="CV94" i="2"/>
  <c r="CU145" i="2"/>
  <c r="CT165" i="2"/>
  <c r="CT143" i="2"/>
  <c r="CT109" i="2"/>
  <c r="CS165" i="2"/>
  <c r="CS145" i="2"/>
  <c r="CR156" i="2"/>
  <c r="CR138" i="2"/>
  <c r="CQ166" i="2"/>
  <c r="CQ150" i="2"/>
  <c r="CQ131" i="2"/>
  <c r="CQ101" i="2"/>
  <c r="CP160" i="2"/>
  <c r="CP142" i="2"/>
  <c r="CP113" i="2"/>
  <c r="CP94" i="2"/>
  <c r="CO154" i="2"/>
  <c r="CO136" i="2"/>
  <c r="CO105" i="2"/>
  <c r="CN164" i="2"/>
  <c r="CN148" i="2"/>
  <c r="CM158" i="2"/>
  <c r="CM140" i="2"/>
  <c r="CM90" i="2"/>
  <c r="CL152" i="2"/>
  <c r="CL133" i="2"/>
  <c r="CK162" i="2"/>
  <c r="CK144" i="2"/>
  <c r="CJ156" i="2"/>
  <c r="CJ138" i="2"/>
  <c r="DY148" i="2"/>
  <c r="DQ148" i="2"/>
  <c r="DL117" i="2"/>
  <c r="DI145" i="2"/>
  <c r="DE137" i="2"/>
  <c r="DD160" i="2"/>
  <c r="DC137" i="2"/>
  <c r="DB131" i="2"/>
  <c r="DA166" i="2"/>
  <c r="DA139" i="2"/>
  <c r="CZ145" i="2"/>
  <c r="CY157" i="2"/>
  <c r="CY130" i="2"/>
  <c r="CX142" i="2"/>
  <c r="CW158" i="2"/>
  <c r="CW135" i="2"/>
  <c r="CV152" i="2"/>
  <c r="CV117" i="2"/>
  <c r="CU144" i="2"/>
  <c r="CU109" i="2"/>
  <c r="CT164" i="2"/>
  <c r="CT141" i="2"/>
  <c r="CS164" i="2"/>
  <c r="CS144" i="2"/>
  <c r="CS114" i="2"/>
  <c r="CS95" i="2"/>
  <c r="CR155" i="2"/>
  <c r="CR137" i="2"/>
  <c r="CR106" i="2"/>
  <c r="CQ165" i="2"/>
  <c r="CQ149" i="2"/>
  <c r="CQ130" i="2"/>
  <c r="CP159" i="2"/>
  <c r="CP141" i="2"/>
  <c r="CO153" i="2"/>
  <c r="CO135" i="2"/>
  <c r="CN163" i="2"/>
  <c r="CN145" i="2"/>
  <c r="CN117" i="2"/>
  <c r="CM157" i="2"/>
  <c r="CM139" i="2"/>
  <c r="CM109" i="2"/>
  <c r="CL167" i="2"/>
  <c r="CL151" i="2"/>
  <c r="CL132" i="2"/>
  <c r="CL102" i="2"/>
  <c r="CK161" i="2"/>
  <c r="CK143" i="2"/>
  <c r="CK114" i="2"/>
  <c r="CK95" i="2"/>
  <c r="CJ155" i="2"/>
  <c r="CJ137" i="2"/>
  <c r="CJ106" i="2"/>
  <c r="CI165" i="2"/>
  <c r="DW133" i="2"/>
  <c r="DP161" i="2"/>
  <c r="DK162" i="2"/>
  <c r="DI117" i="2"/>
  <c r="DF161" i="2"/>
  <c r="DE133" i="2"/>
  <c r="DD149" i="2"/>
  <c r="DC117" i="2"/>
  <c r="DB161" i="2"/>
  <c r="DA162" i="2"/>
  <c r="DA135" i="2"/>
  <c r="CZ142" i="2"/>
  <c r="CY154" i="2"/>
  <c r="CY117" i="2"/>
  <c r="CX165" i="2"/>
  <c r="CX140" i="2"/>
  <c r="CW155" i="2"/>
  <c r="CW132" i="2"/>
  <c r="CW95" i="2"/>
  <c r="CV149" i="2"/>
  <c r="CV114" i="2"/>
  <c r="CU165" i="2"/>
  <c r="CU141" i="2"/>
  <c r="CU106" i="2"/>
  <c r="CT161" i="2"/>
  <c r="CT139" i="2"/>
  <c r="CT105" i="2"/>
  <c r="CS162" i="2"/>
  <c r="CS142" i="2"/>
  <c r="CR153" i="2"/>
  <c r="CR135" i="2"/>
  <c r="CQ163" i="2"/>
  <c r="CQ145" i="2"/>
  <c r="CQ117" i="2"/>
  <c r="CP157" i="2"/>
  <c r="CP139" i="2"/>
  <c r="CP109" i="2"/>
  <c r="CO167" i="2"/>
  <c r="CO151" i="2"/>
  <c r="CO132" i="2"/>
  <c r="CO102" i="2"/>
  <c r="CN161" i="2"/>
  <c r="CN143" i="2"/>
  <c r="CN114" i="2"/>
  <c r="CN95" i="2"/>
  <c r="CM155" i="2"/>
  <c r="CM137" i="2"/>
  <c r="CM106" i="2"/>
  <c r="CL165" i="2"/>
  <c r="CL149" i="2"/>
  <c r="CL130" i="2"/>
  <c r="CL100" i="2"/>
  <c r="CK159" i="2"/>
  <c r="CK141" i="2"/>
  <c r="CJ153" i="2"/>
  <c r="CJ135" i="2"/>
  <c r="CI163" i="2"/>
  <c r="CI145" i="2"/>
  <c r="CI117" i="2"/>
  <c r="CH157" i="2"/>
  <c r="CH139" i="2"/>
  <c r="CH109" i="2"/>
  <c r="CY174" i="2"/>
  <c r="CR87" i="2"/>
  <c r="CN177" i="2"/>
  <c r="CL176" i="2"/>
  <c r="CJ191" i="2"/>
  <c r="DF165" i="2"/>
  <c r="DA163" i="2"/>
  <c r="CX141" i="2"/>
  <c r="CU142" i="2"/>
  <c r="CS94" i="2"/>
  <c r="CO150" i="2"/>
  <c r="CN102" i="2"/>
  <c r="CL150" i="2"/>
  <c r="CJ102" i="2"/>
  <c r="CH156" i="2"/>
  <c r="CR196" i="2"/>
  <c r="CM191" i="2"/>
  <c r="CJ193" i="2"/>
  <c r="CI176" i="2"/>
  <c r="CI95" i="2"/>
  <c r="CH117" i="2"/>
  <c r="CM95" i="2"/>
  <c r="EF175" i="2"/>
  <c r="CI133" i="2"/>
  <c r="DF160" i="2"/>
  <c r="DA160" i="2"/>
  <c r="CX139" i="2"/>
  <c r="CU140" i="2"/>
  <c r="CS90" i="2"/>
  <c r="CO139" i="2"/>
  <c r="CL148" i="2"/>
  <c r="CK100" i="2"/>
  <c r="CH155" i="2"/>
  <c r="CH106" i="2"/>
  <c r="CR194" i="2"/>
  <c r="CM178" i="2"/>
  <c r="CJ189" i="2"/>
  <c r="CI174" i="2"/>
  <c r="DZ194" i="2"/>
  <c r="CM114" i="2"/>
  <c r="CO177" i="2"/>
  <c r="CW189" i="2"/>
  <c r="CP90" i="2"/>
  <c r="CS141" i="2"/>
  <c r="CK86" i="2"/>
  <c r="DF109" i="2"/>
  <c r="DA137" i="2"/>
  <c r="CR154" i="2"/>
  <c r="CP163" i="2"/>
  <c r="CO133" i="2"/>
  <c r="CN94" i="2"/>
  <c r="CL137" i="2"/>
  <c r="CK94" i="2"/>
  <c r="CI166" i="2"/>
  <c r="CI114" i="2"/>
  <c r="CH153" i="2"/>
  <c r="CR174" i="2"/>
  <c r="CL196" i="2"/>
  <c r="CJ188" i="2"/>
  <c r="CI86" i="2"/>
  <c r="EF196" i="2"/>
  <c r="CJ175" i="2"/>
  <c r="CI148" i="2"/>
  <c r="CI143" i="2"/>
  <c r="CS143" i="2"/>
  <c r="CV196" i="2"/>
  <c r="CK140" i="2"/>
  <c r="EF174" i="2"/>
  <c r="DA132" i="2"/>
  <c r="CU105" i="2"/>
  <c r="CR152" i="2"/>
  <c r="CP158" i="2"/>
  <c r="CO131" i="2"/>
  <c r="CM161" i="2"/>
  <c r="CL131" i="2"/>
  <c r="CK90" i="2"/>
  <c r="CI164" i="2"/>
  <c r="CH145" i="2"/>
  <c r="CH103" i="2"/>
  <c r="CQ195" i="2"/>
  <c r="CL195" i="2"/>
  <c r="CJ177" i="2"/>
  <c r="CH196" i="2"/>
  <c r="EF194" i="2"/>
  <c r="CJ136" i="2"/>
  <c r="CI188" i="2"/>
  <c r="DE136" i="2"/>
  <c r="DA94" i="2"/>
  <c r="CW156" i="2"/>
  <c r="CT163" i="2"/>
  <c r="CR136" i="2"/>
  <c r="CP156" i="2"/>
  <c r="CO109" i="2"/>
  <c r="CM156" i="2"/>
  <c r="CJ159" i="2"/>
  <c r="CI162" i="2"/>
  <c r="CH144" i="2"/>
  <c r="CQ177" i="2"/>
  <c r="CL190" i="2"/>
  <c r="CH195" i="2"/>
  <c r="CQ162" i="2"/>
  <c r="CH181" i="2"/>
  <c r="EF176" i="2"/>
  <c r="CK142" i="2"/>
  <c r="CH160" i="2"/>
  <c r="DE132" i="2"/>
  <c r="CW154" i="2"/>
  <c r="CT159" i="2"/>
  <c r="CR133" i="2"/>
  <c r="CP145" i="2"/>
  <c r="CM154" i="2"/>
  <c r="CL106" i="2"/>
  <c r="CJ154" i="2"/>
  <c r="CI161" i="2"/>
  <c r="CI101" i="2"/>
  <c r="CH142" i="2"/>
  <c r="CQ87" i="2"/>
  <c r="CL181" i="2"/>
  <c r="CJ174" i="2"/>
  <c r="CH193" i="2"/>
  <c r="EF192" i="2"/>
  <c r="DP160" i="2"/>
  <c r="CK192" i="2"/>
  <c r="CH176" i="2"/>
  <c r="CN142" i="2"/>
  <c r="CI189" i="2"/>
  <c r="CN132" i="2"/>
  <c r="CH174" i="2"/>
  <c r="DY145" i="2"/>
  <c r="DD153" i="2"/>
  <c r="CZ143" i="2"/>
  <c r="CW133" i="2"/>
  <c r="CT140" i="2"/>
  <c r="CR105" i="2"/>
  <c r="CP140" i="2"/>
  <c r="CO101" i="2"/>
  <c r="CM143" i="2"/>
  <c r="CL101" i="2"/>
  <c r="CJ152" i="2"/>
  <c r="CI153" i="2"/>
  <c r="CI100" i="2"/>
  <c r="CH141" i="2"/>
  <c r="CH94" i="2"/>
  <c r="CP192" i="2"/>
  <c r="CL179" i="2"/>
  <c r="CJ86" i="2"/>
  <c r="CH192" i="2"/>
  <c r="EF191" i="2"/>
  <c r="CN160" i="2"/>
  <c r="CH137" i="2"/>
  <c r="CH163" i="2"/>
  <c r="CQ135" i="2"/>
  <c r="CI135" i="2"/>
  <c r="CV113" i="2"/>
  <c r="DW132" i="2"/>
  <c r="DD148" i="2"/>
  <c r="CZ139" i="2"/>
  <c r="CW131" i="2"/>
  <c r="CT138" i="2"/>
  <c r="CP138" i="2"/>
  <c r="CN167" i="2"/>
  <c r="CM138" i="2"/>
  <c r="CL99" i="2"/>
  <c r="CJ151" i="2"/>
  <c r="CI150" i="2"/>
  <c r="CI99" i="2"/>
  <c r="CH140" i="2"/>
  <c r="CP190" i="2"/>
  <c r="CL174" i="2"/>
  <c r="CI196" i="2"/>
  <c r="CH191" i="2"/>
  <c r="EF190" i="2"/>
  <c r="CY173" i="2"/>
  <c r="CN192" i="2"/>
  <c r="DI144" i="2"/>
  <c r="CN190" i="2"/>
  <c r="CO166" i="2"/>
  <c r="CH113" i="2"/>
  <c r="DQ145" i="2"/>
  <c r="CT106" i="2"/>
  <c r="CQ164" i="2"/>
  <c r="CP117" i="2"/>
  <c r="CN162" i="2"/>
  <c r="CM136" i="2"/>
  <c r="CK165" i="2"/>
  <c r="CJ141" i="2"/>
  <c r="CI149" i="2"/>
  <c r="CH138" i="2"/>
  <c r="CH90" i="2"/>
  <c r="CO179" i="2"/>
  <c r="CK196" i="2"/>
  <c r="CI195" i="2"/>
  <c r="CH182" i="2"/>
  <c r="EF188" i="2"/>
  <c r="CK160" i="2"/>
  <c r="CI193" i="2"/>
  <c r="CI190" i="2"/>
  <c r="DB163" i="2"/>
  <c r="CK176" i="2"/>
  <c r="DC136" i="2"/>
  <c r="CY155" i="2"/>
  <c r="CV150" i="2"/>
  <c r="CS163" i="2"/>
  <c r="CQ148" i="2"/>
  <c r="CN151" i="2"/>
  <c r="CK158" i="2"/>
  <c r="CJ133" i="2"/>
  <c r="CI144" i="2"/>
  <c r="CH135" i="2"/>
  <c r="CX181" i="2"/>
  <c r="CN193" i="2"/>
  <c r="CK190" i="2"/>
  <c r="CI191" i="2"/>
  <c r="CH179" i="2"/>
  <c r="EF179" i="2"/>
  <c r="CN144" i="2"/>
  <c r="CK149" i="2"/>
  <c r="CJ132" i="2"/>
  <c r="CK189" i="2"/>
  <c r="CH175" i="2"/>
  <c r="CL166" i="2"/>
  <c r="DK160" i="2"/>
  <c r="CY151" i="2"/>
  <c r="CV148" i="2"/>
  <c r="CS161" i="2"/>
  <c r="CQ144" i="2"/>
  <c r="CM105" i="2"/>
  <c r="CH162" i="2"/>
  <c r="CN176" i="2"/>
  <c r="DG166" i="2"/>
  <c r="DB130" i="2"/>
  <c r="CU167" i="2"/>
  <c r="CS113" i="2"/>
  <c r="CO157" i="2"/>
  <c r="CL164" i="2"/>
  <c r="CK130" i="2"/>
  <c r="CJ105" i="2"/>
  <c r="CI131" i="2"/>
  <c r="CH159" i="2"/>
  <c r="CT177" i="2"/>
  <c r="CN173" i="2"/>
  <c r="CJ196" i="2"/>
  <c r="CI182" i="2"/>
  <c r="CH86" i="2"/>
  <c r="CH158" i="2"/>
  <c r="CS195" i="2"/>
  <c r="CJ194" i="2"/>
  <c r="DG151" i="2"/>
  <c r="DB117" i="2"/>
  <c r="CX164" i="2"/>
  <c r="CU163" i="2"/>
  <c r="CO152" i="2"/>
  <c r="CN113" i="2"/>
  <c r="CL155" i="2"/>
  <c r="CK113" i="2"/>
  <c r="CI130" i="2"/>
  <c r="CM193" i="2"/>
  <c r="CI178" i="2"/>
  <c r="DB157" i="2"/>
  <c r="CT196" i="2"/>
  <c r="CS179" i="2"/>
  <c r="DI174" i="2"/>
  <c r="DI179" i="2"/>
  <c r="CO181" i="2"/>
  <c r="CM188" i="2"/>
  <c r="CR182" i="2"/>
  <c r="CT174" i="2"/>
  <c r="DG177" i="2"/>
  <c r="EB195" i="2"/>
  <c r="CR191" i="2"/>
  <c r="DU195" i="2"/>
  <c r="CW182" i="2"/>
  <c r="DO188" i="2"/>
  <c r="DC192" i="2"/>
  <c r="CQ174" i="2"/>
  <c r="DX188" i="2"/>
  <c r="DL192" i="2"/>
  <c r="DY196" i="2"/>
  <c r="DM178" i="2"/>
  <c r="DV178" i="2"/>
  <c r="DI195" i="2"/>
  <c r="EA174" i="2"/>
  <c r="DN191" i="2"/>
  <c r="DB173" i="2"/>
  <c r="CP177" i="2"/>
  <c r="DT174" i="2"/>
  <c r="DH178" i="2"/>
  <c r="CU195" i="2"/>
  <c r="EA194" i="2"/>
  <c r="EB181" i="2"/>
  <c r="DP190" i="2"/>
  <c r="CQ189" i="2"/>
  <c r="ED192" i="2"/>
  <c r="DQ176" i="2"/>
  <c r="DE181" i="2"/>
  <c r="EC194" i="2"/>
  <c r="DD191" i="2"/>
  <c r="CR173" i="2"/>
  <c r="DW179" i="2"/>
  <c r="DJ174" i="2"/>
  <c r="DZ173" i="2"/>
  <c r="DN177" i="2"/>
  <c r="DA194" i="2"/>
  <c r="CO176" i="2"/>
  <c r="EC191" i="2"/>
  <c r="CZ176" i="2"/>
  <c r="ED174" i="2"/>
  <c r="DE188" i="2"/>
  <c r="DZ174" i="2"/>
  <c r="CY189" i="2"/>
  <c r="DV176" i="2"/>
  <c r="DG188" i="2"/>
  <c r="CY182" i="2"/>
  <c r="CV179" i="2"/>
  <c r="CV190" i="2"/>
  <c r="DS195" i="2"/>
  <c r="DT188" i="2"/>
  <c r="CP194" i="2"/>
  <c r="CN181" i="2"/>
  <c r="CT87" i="2"/>
  <c r="CU192" i="2"/>
  <c r="DN176" i="2"/>
  <c r="EB173" i="2"/>
  <c r="DP177" i="2"/>
  <c r="DC194" i="2"/>
  <c r="CQ176" i="2"/>
  <c r="DU173" i="2"/>
  <c r="DI177" i="2"/>
  <c r="CV194" i="2"/>
  <c r="EA178" i="2"/>
  <c r="DN195" i="2"/>
  <c r="CP182" i="2"/>
  <c r="DW195" i="2"/>
  <c r="DY174" i="2"/>
  <c r="DL191" i="2"/>
  <c r="DU191" i="2"/>
  <c r="DI173" i="2"/>
  <c r="DM176" i="2"/>
  <c r="DA181" i="2"/>
  <c r="EE191" i="2"/>
  <c r="DG191" i="2"/>
  <c r="CU173" i="2"/>
  <c r="CI177" i="2"/>
  <c r="DM196" i="2"/>
  <c r="DO175" i="2"/>
  <c r="DC179" i="2"/>
  <c r="CP196" i="2"/>
  <c r="EC196" i="2"/>
  <c r="DS177" i="2"/>
  <c r="EB177" i="2"/>
  <c r="DO194" i="2"/>
  <c r="DC176" i="2"/>
  <c r="CQ181" i="2"/>
  <c r="DV192" i="2"/>
  <c r="DY181" i="2"/>
  <c r="DM190" i="2"/>
  <c r="CN189" i="2"/>
  <c r="CH189" i="2"/>
  <c r="DP178" i="2"/>
  <c r="EB174" i="2"/>
  <c r="CL173" i="2"/>
  <c r="DU175" i="2"/>
  <c r="CS177" i="2"/>
  <c r="DT178" i="2"/>
  <c r="DV177" i="2"/>
  <c r="DO173" i="2"/>
  <c r="DQ195" i="2"/>
  <c r="CN195" i="2"/>
  <c r="DJ194" i="2"/>
  <c r="CU181" i="2"/>
  <c r="DP173" i="2"/>
  <c r="EE190" i="2"/>
  <c r="DS176" i="2"/>
  <c r="CO191" i="2"/>
  <c r="DR177" i="2"/>
  <c r="DF174" i="2"/>
  <c r="CT175" i="2"/>
  <c r="CL178" i="2"/>
  <c r="CR175" i="2"/>
  <c r="CO188" i="2"/>
  <c r="CU191" i="2"/>
  <c r="CW178" i="2"/>
  <c r="DY179" i="2"/>
  <c r="EA181" i="2"/>
  <c r="DO190" i="2"/>
  <c r="CP189" i="2"/>
  <c r="DT181" i="2"/>
  <c r="DH190" i="2"/>
  <c r="CV87" i="2"/>
  <c r="DZ191" i="2"/>
  <c r="DN173" i="2"/>
  <c r="DB177" i="2"/>
  <c r="CO194" i="2"/>
  <c r="DW173" i="2"/>
  <c r="DK177" i="2"/>
  <c r="DK176" i="2"/>
  <c r="DT176" i="2"/>
  <c r="DH181" i="2"/>
  <c r="DY194" i="2"/>
  <c r="CZ193" i="2"/>
  <c r="ED195" i="2"/>
  <c r="DR194" i="2"/>
  <c r="DF176" i="2"/>
  <c r="CT181" i="2"/>
  <c r="CH190" i="2"/>
  <c r="DZ179" i="2"/>
  <c r="DM174" i="2"/>
  <c r="DA178" i="2"/>
  <c r="DN188" i="2"/>
  <c r="DB192" i="2"/>
  <c r="CP174" i="2"/>
  <c r="EC174" i="2"/>
  <c r="DO196" i="2"/>
  <c r="ED191" i="2"/>
  <c r="DR190" i="2"/>
  <c r="EA190" i="2"/>
  <c r="CP193" i="2"/>
  <c r="DU177" i="2"/>
  <c r="DH194" i="2"/>
  <c r="DL175" i="2"/>
  <c r="CZ179" i="2"/>
  <c r="CM196" i="2"/>
  <c r="CI181" i="2"/>
  <c r="CP87" i="2"/>
  <c r="CZ177" i="2"/>
  <c r="DW174" i="2"/>
  <c r="DU192" i="2"/>
  <c r="CW176" i="2"/>
  <c r="EA191" i="2"/>
  <c r="EE179" i="2"/>
  <c r="CK87" i="2"/>
  <c r="DV190" i="2"/>
  <c r="DE190" i="2"/>
  <c r="CU86" i="2"/>
  <c r="CJ195" i="2"/>
  <c r="DE194" i="2"/>
  <c r="CR179" i="2"/>
  <c r="EF178" i="2"/>
  <c r="CR86" i="2"/>
  <c r="CY191" i="2"/>
  <c r="CY193" i="2"/>
  <c r="CM176" i="2"/>
  <c r="CS196" i="2"/>
  <c r="CP195" i="2"/>
  <c r="CW177" i="2"/>
  <c r="CZ188" i="2"/>
  <c r="CZ194" i="2"/>
  <c r="DN175" i="2"/>
  <c r="DB179" i="2"/>
  <c r="CO196" i="2"/>
  <c r="DG175" i="2"/>
  <c r="CU179" i="2"/>
  <c r="DY176" i="2"/>
  <c r="DM181" i="2"/>
  <c r="DA190" i="2"/>
  <c r="CO87" i="2"/>
  <c r="DV181" i="2"/>
  <c r="DJ190" i="2"/>
  <c r="DW194" i="2"/>
  <c r="DK196" i="2"/>
  <c r="ED173" i="2"/>
  <c r="CS193" i="2"/>
  <c r="EF181" i="2"/>
  <c r="DY192" i="2"/>
  <c r="CZ191" i="2"/>
  <c r="DZ178" i="2"/>
  <c r="DM195" i="2"/>
  <c r="CO182" i="2"/>
  <c r="EB179" i="2"/>
  <c r="DO174" i="2"/>
  <c r="EC195" i="2"/>
  <c r="DQ175" i="2"/>
  <c r="DZ175" i="2"/>
  <c r="DN179" i="2"/>
  <c r="DA196" i="2"/>
  <c r="CP86" i="2"/>
  <c r="DT190" i="2"/>
  <c r="DK188" i="2"/>
  <c r="CY192" i="2"/>
  <c r="CM174" i="2"/>
  <c r="CJ176" i="2"/>
  <c r="CK174" i="2"/>
  <c r="CJ178" i="2"/>
  <c r="EB196" i="2"/>
  <c r="CX192" i="2"/>
  <c r="ED179" i="2"/>
  <c r="DK178" i="2"/>
  <c r="ED175" i="2"/>
  <c r="EA195" i="2"/>
  <c r="DV175" i="2"/>
  <c r="CM179" i="2"/>
  <c r="DL177" i="2"/>
  <c r="DI181" i="2"/>
  <c r="CQ182" i="2"/>
  <c r="DW177" i="2"/>
  <c r="CS87" i="2"/>
  <c r="CH188" i="2"/>
  <c r="CO86" i="2"/>
  <c r="CT193" i="2"/>
  <c r="DX181" i="2"/>
  <c r="DD195" i="2"/>
  <c r="CZ196" i="2"/>
  <c r="DA175" i="2"/>
  <c r="DA176" i="2"/>
  <c r="CN175" i="2"/>
  <c r="DC178" i="2"/>
  <c r="CU182" i="2"/>
  <c r="CR181" i="2"/>
  <c r="CX194" i="2"/>
  <c r="DB174" i="2"/>
  <c r="DB176" i="2"/>
  <c r="DM188" i="2"/>
  <c r="DA192" i="2"/>
  <c r="CO174" i="2"/>
  <c r="DF188" i="2"/>
  <c r="CT192" i="2"/>
  <c r="CZ175" i="2"/>
  <c r="CN179" i="2"/>
  <c r="DI175" i="2"/>
  <c r="DI196" i="2"/>
  <c r="DR196" i="2"/>
  <c r="DX179" i="2"/>
  <c r="DK174" i="2"/>
  <c r="CY178" i="2"/>
  <c r="EC177" i="2"/>
  <c r="DQ179" i="2"/>
  <c r="DD196" i="2"/>
  <c r="CS86" i="2"/>
  <c r="DX177" i="2"/>
  <c r="DK194" i="2"/>
  <c r="CY176" i="2"/>
  <c r="DY191" i="2"/>
  <c r="DM173" i="2"/>
  <c r="DA177" i="2"/>
  <c r="CN194" i="2"/>
  <c r="EA192" i="2"/>
  <c r="EC173" i="2"/>
  <c r="DP188" i="2"/>
  <c r="DY188" i="2"/>
  <c r="DM192" i="2"/>
  <c r="DA174" i="2"/>
  <c r="CO178" i="2"/>
  <c r="DS175" i="2"/>
  <c r="DG179" i="2"/>
  <c r="DW178" i="2"/>
  <c r="DJ195" i="2"/>
  <c r="CL182" i="2"/>
  <c r="CK173" i="2"/>
  <c r="CL86" i="2"/>
  <c r="CK175" i="2"/>
  <c r="CX177" i="2"/>
  <c r="CK194" i="2"/>
  <c r="CM195" i="2"/>
  <c r="CW87" i="2"/>
  <c r="DE173" i="2"/>
  <c r="DE191" i="2"/>
  <c r="CQ191" i="2"/>
  <c r="CY175" i="2"/>
  <c r="DX173" i="2"/>
  <c r="DU176" i="2"/>
  <c r="CM86" i="2"/>
  <c r="DG176" i="2"/>
  <c r="DY173" i="2"/>
  <c r="CR177" i="2"/>
  <c r="DM191" i="2"/>
  <c r="CL188" i="2"/>
  <c r="EB191" i="2"/>
  <c r="DQ178" i="2"/>
  <c r="EB175" i="2"/>
  <c r="DE175" i="2"/>
  <c r="CO175" i="2"/>
  <c r="CW86" i="2"/>
  <c r="CU189" i="2"/>
  <c r="CZ181" i="2"/>
  <c r="DD178" i="2"/>
  <c r="DY178" i="2"/>
  <c r="DL195" i="2"/>
  <c r="EE175" i="2"/>
  <c r="DR178" i="2"/>
  <c r="DE195" i="2"/>
  <c r="DW196" i="2"/>
  <c r="CY188" i="2"/>
  <c r="CM192" i="2"/>
  <c r="DH188" i="2"/>
  <c r="DV179" i="2"/>
  <c r="DR174" i="2"/>
  <c r="DF178" i="2"/>
  <c r="DW192" i="2"/>
  <c r="CX191" i="2"/>
  <c r="EB188" i="2"/>
  <c r="DP192" i="2"/>
  <c r="DD174" i="2"/>
  <c r="CR178" i="2"/>
  <c r="DW190" i="2"/>
  <c r="CX189" i="2"/>
  <c r="DX176" i="2"/>
  <c r="DL181" i="2"/>
  <c r="CZ190" i="2"/>
  <c r="CN87" i="2"/>
  <c r="DZ177" i="2"/>
  <c r="DM194" i="2"/>
  <c r="EB178" i="2"/>
  <c r="DO195" i="2"/>
  <c r="DX195" i="2"/>
  <c r="CZ182" i="2"/>
  <c r="CN191" i="2"/>
  <c r="DR188" i="2"/>
  <c r="DF192" i="2"/>
  <c r="DV191" i="2"/>
  <c r="DJ173" i="2"/>
  <c r="DL173" i="2"/>
  <c r="DG195" i="2"/>
  <c r="DI194" i="2"/>
  <c r="DJ179" i="2"/>
  <c r="CN86" i="2"/>
  <c r="DL194" i="2"/>
  <c r="DQ181" i="2"/>
  <c r="DH175" i="2"/>
  <c r="EF173" i="2"/>
  <c r="DN194" i="2"/>
  <c r="DP179" i="2"/>
  <c r="DH192" i="2"/>
  <c r="DH196" i="2"/>
  <c r="CP181" i="2"/>
  <c r="DX191" i="2"/>
  <c r="DQ191" i="2"/>
  <c r="CX195" i="2"/>
  <c r="CW196" i="2"/>
  <c r="DY190" i="2"/>
  <c r="CY194" i="2"/>
  <c r="CW190" i="2"/>
  <c r="CN188" i="2"/>
  <c r="CT191" i="2"/>
  <c r="DW191" i="2"/>
  <c r="DF196" i="2"/>
  <c r="DG181" i="2"/>
  <c r="DO181" i="2"/>
  <c r="ED194" i="2"/>
  <c r="DR181" i="2"/>
  <c r="DS173" i="2"/>
  <c r="CX182" i="2"/>
  <c r="CZ174" i="2"/>
  <c r="CX193" i="2"/>
  <c r="DF194" i="2"/>
  <c r="DW176" i="2"/>
  <c r="DK181" i="2"/>
  <c r="CY190" i="2"/>
  <c r="DP176" i="2"/>
  <c r="DD181" i="2"/>
  <c r="CR190" i="2"/>
  <c r="DJ191" i="2"/>
  <c r="CX173" i="2"/>
  <c r="CL177" i="2"/>
  <c r="DS191" i="2"/>
  <c r="DG173" i="2"/>
  <c r="DT177" i="2"/>
  <c r="EC179" i="2"/>
  <c r="DP194" i="2"/>
  <c r="DD176" i="2"/>
  <c r="DU190" i="2"/>
  <c r="CV189" i="2"/>
  <c r="EA173" i="2"/>
  <c r="DO177" i="2"/>
  <c r="DB194" i="2"/>
  <c r="CP176" i="2"/>
  <c r="DU188" i="2"/>
  <c r="DI192" i="2"/>
  <c r="CW174" i="2"/>
  <c r="DV196" i="2"/>
  <c r="CX188" i="2"/>
  <c r="CL192" i="2"/>
  <c r="DX175" i="2"/>
  <c r="DL179" i="2"/>
  <c r="DZ176" i="2"/>
  <c r="DN181" i="2"/>
  <c r="DW181" i="2"/>
  <c r="DK190" i="2"/>
  <c r="DQ173" i="2"/>
  <c r="DE177" i="2"/>
  <c r="CV175" i="2"/>
  <c r="CJ179" i="2"/>
  <c r="CS173" i="2"/>
  <c r="CP173" i="2"/>
  <c r="DM175" i="2"/>
  <c r="CU194" i="2"/>
  <c r="DI191" i="2"/>
  <c r="DV195" i="2"/>
  <c r="CW192" i="2"/>
  <c r="DC175" i="2"/>
  <c r="CT195" i="2"/>
  <c r="CT189" i="2"/>
  <c r="CT194" i="2"/>
  <c r="CV177" i="2"/>
  <c r="ED188" i="2"/>
  <c r="EF195" i="2"/>
  <c r="CY195" i="2"/>
  <c r="EE174" i="2"/>
  <c r="DK173" i="2"/>
  <c r="CR193" i="2"/>
  <c r="CM189" i="2"/>
  <c r="DX190" i="2"/>
  <c r="DL190" i="2"/>
  <c r="DR192" i="2"/>
  <c r="CJ182" i="2"/>
  <c r="CS182" i="2"/>
  <c r="CS189" i="2"/>
  <c r="CZ173" i="2"/>
  <c r="DA195" i="2"/>
  <c r="CZ178" i="2"/>
  <c r="DL196" i="2"/>
  <c r="DX192" i="2"/>
  <c r="CZ195" i="2"/>
  <c r="CX175" i="2"/>
  <c r="EB194" i="2"/>
  <c r="CQ175" i="2"/>
  <c r="DU194" i="2"/>
  <c r="DI176" i="2"/>
  <c r="CW181" i="2"/>
  <c r="EE195" i="2"/>
  <c r="DR176" i="2"/>
  <c r="DF181" i="2"/>
  <c r="DS190" i="2"/>
  <c r="EB190" i="2"/>
  <c r="DT175" i="2"/>
  <c r="DH179" i="2"/>
  <c r="CU196" i="2"/>
  <c r="DZ181" i="2"/>
  <c r="DN190" i="2"/>
  <c r="CO189" i="2"/>
  <c r="DT195" i="2"/>
  <c r="CV182" i="2"/>
  <c r="DV174" i="2"/>
  <c r="DJ178" i="2"/>
  <c r="CW195" i="2"/>
  <c r="DW188" i="2"/>
  <c r="DK192" i="2"/>
  <c r="DJ175" i="2"/>
  <c r="CX179" i="2"/>
  <c r="DP181" i="2"/>
  <c r="DD190" i="2"/>
  <c r="DS196" i="2"/>
  <c r="CU188" i="2"/>
  <c r="CI192" i="2"/>
  <c r="CQ179" i="2"/>
  <c r="CT190" i="2"/>
  <c r="CQ188" i="2"/>
  <c r="DA179" i="2"/>
  <c r="DT173" i="2"/>
  <c r="CK177" i="2"/>
  <c r="DX196" i="2"/>
  <c r="DI188" i="2"/>
  <c r="DS174" i="2"/>
  <c r="CS174" i="2"/>
  <c r="DK191" i="2"/>
  <c r="DN178" i="2"/>
  <c r="CW193" i="2"/>
  <c r="CY196" i="2"/>
  <c r="DY177" i="2"/>
  <c r="DM177" i="2"/>
  <c r="DS179" i="2"/>
  <c r="EC192" i="2"/>
  <c r="DA188" i="2"/>
  <c r="EC178" i="2"/>
  <c r="CT178" i="2"/>
  <c r="DC196" i="2"/>
  <c r="CK178" i="2"/>
  <c r="CU175" i="2"/>
  <c r="DC191" i="2"/>
  <c r="DC195" i="2"/>
  <c r="CK193" i="2"/>
  <c r="CR192" i="2"/>
  <c r="DB181" i="2"/>
  <c r="DU196" i="2"/>
  <c r="CW188" i="2"/>
  <c r="DN196" i="2"/>
  <c r="CP188" i="2"/>
  <c r="CV193" i="2"/>
  <c r="EE173" i="2"/>
  <c r="DR175" i="2"/>
  <c r="EA175" i="2"/>
  <c r="DO179" i="2"/>
  <c r="DB196" i="2"/>
  <c r="DS188" i="2"/>
  <c r="DG192" i="2"/>
  <c r="CU174" i="2"/>
  <c r="CN196" i="2"/>
  <c r="CT179" i="2"/>
  <c r="DH177" i="2"/>
  <c r="CW173" i="2"/>
  <c r="EB176" i="2"/>
  <c r="DG178" i="2"/>
  <c r="CV176" i="2"/>
  <c r="DH173" i="2"/>
  <c r="DQ194" i="2"/>
  <c r="CY181" i="2"/>
  <c r="EB192" i="2"/>
  <c r="CY177" i="2"/>
  <c r="DV194" i="2"/>
  <c r="CY179" i="2"/>
  <c r="EE176" i="2"/>
  <c r="EA177" i="2"/>
  <c r="DJ181" i="2"/>
  <c r="DB190" i="2"/>
  <c r="CL175" i="2"/>
  <c r="CV191" i="2"/>
  <c r="CV192" i="2"/>
  <c r="DC190" i="2"/>
  <c r="DF179" i="2"/>
  <c r="DF190" i="2"/>
  <c r="CL191" i="2"/>
  <c r="CT176" i="2"/>
  <c r="DD188" i="2"/>
  <c r="DU174" i="2"/>
  <c r="DI178" i="2"/>
  <c r="CV195" i="2"/>
  <c r="EA179" i="2"/>
  <c r="DN174" i="2"/>
  <c r="DB178" i="2"/>
  <c r="CO195" i="2"/>
  <c r="DT179" i="2"/>
  <c r="DG196" i="2"/>
  <c r="CV86" i="2"/>
  <c r="ED177" i="2"/>
  <c r="DP196" i="2"/>
  <c r="EE194" i="2"/>
  <c r="DQ188" i="2"/>
  <c r="DZ188" i="2"/>
  <c r="DN192" i="2"/>
  <c r="EE192" i="2"/>
  <c r="DR195" i="2"/>
  <c r="CT182" i="2"/>
  <c r="DL188" i="2"/>
  <c r="CZ192" i="2"/>
  <c r="CN174" i="2"/>
  <c r="DS181" i="2"/>
  <c r="DG190" i="2"/>
  <c r="CU87" i="2"/>
  <c r="DT194" i="2"/>
  <c r="DH176" i="2"/>
  <c r="CV181" i="2"/>
  <c r="CJ190" i="2"/>
  <c r="DV173" i="2"/>
  <c r="DJ177" i="2"/>
  <c r="DX174" i="2"/>
  <c r="DL178" i="2"/>
  <c r="DU178" i="2"/>
  <c r="DH195" i="2"/>
  <c r="EE178" i="2"/>
  <c r="DF191" i="2"/>
  <c r="CT173" i="2"/>
  <c r="CH177" i="2"/>
  <c r="CV174" i="2"/>
  <c r="CW194" i="2"/>
  <c r="DT191" i="2"/>
  <c r="DE176" i="2"/>
  <c r="CV178" i="2"/>
  <c r="DS194" i="2"/>
  <c r="EC181" i="2"/>
  <c r="CU190" i="2"/>
  <c r="CZ189" i="2"/>
  <c r="CS176" i="2"/>
  <c r="CL87" i="2"/>
  <c r="CM173" i="2"/>
  <c r="CX176" i="2"/>
  <c r="CX178" i="2"/>
  <c r="DL174" i="2"/>
  <c r="CM190" i="2"/>
  <c r="CW179" i="2"/>
  <c r="DG194" i="2"/>
  <c r="DH191" i="2"/>
  <c r="CV173" i="2"/>
  <c r="DZ192" i="2"/>
  <c r="DA191" i="2"/>
  <c r="EE196" i="2"/>
  <c r="DS192" i="2"/>
  <c r="DG174" i="2"/>
  <c r="CU178" i="2"/>
  <c r="DP174" i="2"/>
  <c r="ED176" i="2"/>
  <c r="DP195" i="2"/>
  <c r="DY195" i="2"/>
  <c r="ED196" i="2"/>
  <c r="DR173" i="2"/>
  <c r="DF177" i="2"/>
  <c r="CS194" i="2"/>
  <c r="DX178" i="2"/>
  <c r="DK195" i="2"/>
  <c r="CM182" i="2"/>
  <c r="CQ190" i="2"/>
  <c r="DF175" i="2"/>
  <c r="CS192" i="2"/>
  <c r="CU193" i="2"/>
  <c r="CI175" i="2"/>
  <c r="DU181" i="2"/>
  <c r="DI190" i="2"/>
  <c r="DZ196" i="2"/>
  <c r="CS181" i="2"/>
  <c r="DO191" i="2"/>
  <c r="CL194" i="2"/>
  <c r="DJ176" i="2"/>
  <c r="CP175" i="2"/>
  <c r="ED178" i="2"/>
  <c r="DD175" i="2"/>
  <c r="CX190" i="2"/>
  <c r="DL176" i="2"/>
  <c r="CQ193" i="2"/>
  <c r="CP178" i="2"/>
  <c r="DC173" i="2"/>
  <c r="DC177" i="2"/>
  <c r="CM181" i="2"/>
  <c r="CK191" i="2"/>
  <c r="CN182" i="2"/>
  <c r="CQ86" i="2"/>
  <c r="DB175" i="2"/>
  <c r="ED181" i="2"/>
  <c r="DR179" i="2"/>
  <c r="DE196" i="2"/>
  <c r="CT86" i="2"/>
  <c r="DW175" i="2"/>
  <c r="DK179" i="2"/>
  <c r="CX196" i="2"/>
  <c r="EC188" i="2"/>
  <c r="DQ190" i="2"/>
  <c r="CR189" i="2"/>
  <c r="DZ190" i="2"/>
  <c r="EA176" i="2"/>
  <c r="DK175" i="2"/>
  <c r="DC188" i="2"/>
  <c r="CQ192" i="2"/>
  <c r="CW175" i="2"/>
  <c r="CK179" i="2"/>
  <c r="EC176" i="2"/>
  <c r="DP191" i="2"/>
  <c r="DD173" i="2"/>
  <c r="CS191" i="2"/>
  <c r="DS178" i="2"/>
  <c r="DF195" i="2"/>
  <c r="DU179" i="2"/>
  <c r="EE181" i="2"/>
  <c r="DQ196" i="2"/>
  <c r="CS188" i="2"/>
  <c r="DX194" i="2"/>
  <c r="EA188" i="2"/>
  <c r="DO192" i="2"/>
  <c r="DC174" i="2"/>
  <c r="CQ178" i="2"/>
  <c r="EE177" i="2"/>
  <c r="DB188" i="2"/>
  <c r="DA173" i="2"/>
  <c r="DZ195" i="2"/>
  <c r="CP191" i="2"/>
  <c r="DD192" i="2"/>
  <c r="DB191" i="2"/>
  <c r="CS175" i="2"/>
  <c r="CQ194" i="2"/>
  <c r="DE179" i="2"/>
  <c r="DE192" i="2"/>
  <c r="CN178" i="2"/>
  <c r="CL189" i="2"/>
  <c r="CO190" i="2"/>
  <c r="CR188" i="2"/>
  <c r="DD177" i="2"/>
  <c r="EC190" i="2"/>
  <c r="DQ192" i="2"/>
  <c r="DE174" i="2"/>
  <c r="CS178" i="2"/>
  <c r="DV188" i="2"/>
  <c r="DJ192" i="2"/>
  <c r="CX174" i="2"/>
  <c r="DP175" i="2"/>
  <c r="DD179" i="2"/>
  <c r="CQ196" i="2"/>
  <c r="DY175" i="2"/>
  <c r="DM179" i="2"/>
  <c r="DJ188" i="2"/>
  <c r="EA196" i="2"/>
  <c r="DO178" i="2"/>
  <c r="DB195" i="2"/>
  <c r="DT196" i="2"/>
  <c r="CV188" i="2"/>
  <c r="CJ192" i="2"/>
  <c r="DO176" i="2"/>
  <c r="DC181" i="2"/>
  <c r="EC175" i="2"/>
  <c r="DQ177" i="2"/>
  <c r="DD194" i="2"/>
  <c r="CR176" i="2"/>
  <c r="EE188" i="2"/>
  <c r="DR191" i="2"/>
  <c r="DF173" i="2"/>
  <c r="DT192" i="2"/>
  <c r="ED190" i="2"/>
  <c r="DQ174" i="2"/>
  <c r="DE178" i="2"/>
  <c r="CR195" i="2"/>
  <c r="DJ196" i="2"/>
  <c r="DH174" i="2"/>
  <c r="DT36" i="2"/>
  <c r="DT78" i="2"/>
  <c r="CL12" i="3" l="1"/>
  <c r="CG12" i="3"/>
  <c r="CS12" i="3"/>
  <c r="CV12" i="3"/>
  <c r="CP12" i="3"/>
  <c r="EJ129" i="2"/>
  <c r="EK129" i="2"/>
  <c r="EL129" i="2"/>
  <c r="CM12" i="3"/>
  <c r="CF12" i="3"/>
  <c r="CT12" i="3"/>
  <c r="CZ12" i="3"/>
  <c r="CI12" i="3"/>
  <c r="CR12" i="3"/>
  <c r="CO12" i="3"/>
  <c r="CW12" i="3"/>
  <c r="CE12" i="3"/>
  <c r="CH12" i="3"/>
  <c r="DA12" i="3"/>
  <c r="CN12" i="3"/>
  <c r="CQ12" i="3"/>
  <c r="CX12" i="3"/>
  <c r="CY12" i="3"/>
  <c r="CJ12" i="3"/>
  <c r="CK12" i="3"/>
  <c r="CU12" i="3"/>
  <c r="EI129" i="2"/>
  <c r="EH129" i="2"/>
  <c r="EG129" i="2"/>
  <c r="ED129" i="2"/>
  <c r="EE129" i="2"/>
  <c r="EF129" i="2"/>
  <c r="EC129" i="2"/>
  <c r="DT81" i="2"/>
  <c r="DS31" i="2" l="1"/>
  <c r="DS40" i="2"/>
  <c r="DS57" i="2"/>
  <c r="DS70" i="2"/>
  <c r="CR88" i="2"/>
  <c r="CR91" i="2" s="1"/>
  <c r="CS88" i="2"/>
  <c r="CS91" i="2" s="1"/>
  <c r="CH88" i="2"/>
  <c r="CH91" i="2" s="1"/>
  <c r="CW88" i="2"/>
  <c r="CW91" i="2" s="1"/>
  <c r="CQ88" i="2"/>
  <c r="CQ91" i="2" s="1"/>
  <c r="CM88" i="2"/>
  <c r="CM91" i="2" s="1"/>
  <c r="CL184" i="2"/>
  <c r="CH198" i="2"/>
  <c r="CK88" i="2"/>
  <c r="CK91" i="2" s="1"/>
  <c r="CI184" i="2"/>
  <c r="CV88" i="2"/>
  <c r="CV91" i="2" s="1"/>
  <c r="CL88" i="2"/>
  <c r="CL91" i="2" s="1"/>
  <c r="CI198" i="2"/>
  <c r="CM184" i="2"/>
  <c r="CN184" i="2"/>
  <c r="CP88" i="2"/>
  <c r="CP91" i="2" s="1"/>
  <c r="CT88" i="2"/>
  <c r="CT91" i="2" s="1"/>
  <c r="CJ88" i="2"/>
  <c r="CJ91" i="2" s="1"/>
  <c r="CI88" i="2"/>
  <c r="CI91" i="2" s="1"/>
  <c r="CN88" i="2"/>
  <c r="CN91" i="2" s="1"/>
  <c r="CO88" i="2"/>
  <c r="CO91" i="2" s="1"/>
  <c r="CU88" i="2"/>
  <c r="CU91" i="2" s="1"/>
  <c r="CY184" i="2"/>
  <c r="CN198" i="2"/>
  <c r="CW198" i="2"/>
  <c r="CQ198" i="2"/>
  <c r="CL198" i="2"/>
  <c r="CJ198" i="2"/>
  <c r="CK198" i="2"/>
  <c r="CU184" i="2"/>
  <c r="CV198" i="2"/>
  <c r="CT184" i="2"/>
  <c r="CO198" i="2"/>
  <c r="CO184" i="2"/>
  <c r="CW184" i="2"/>
  <c r="CU198" i="2"/>
  <c r="CT198" i="2"/>
  <c r="CX198" i="2"/>
  <c r="CM198" i="2"/>
  <c r="CR198" i="2"/>
  <c r="CQ184" i="2"/>
  <c r="CV184" i="2"/>
  <c r="CK184" i="2"/>
  <c r="CP184" i="2"/>
  <c r="CR184" i="2"/>
  <c r="CZ184" i="2"/>
  <c r="CZ198" i="2"/>
  <c r="CJ184" i="2"/>
  <c r="CP198" i="2"/>
  <c r="CY198" i="2"/>
  <c r="CS184" i="2"/>
  <c r="CX184" i="2"/>
  <c r="CH184" i="2"/>
  <c r="CQ147" i="2"/>
  <c r="CO147" i="2"/>
  <c r="CP147" i="2"/>
  <c r="CH147" i="2"/>
  <c r="CT147" i="2"/>
  <c r="CL147" i="2"/>
  <c r="CI147" i="2"/>
  <c r="CM147" i="2"/>
  <c r="CR147" i="2"/>
  <c r="CJ147" i="2"/>
  <c r="CN147" i="2"/>
  <c r="CS147" i="2"/>
  <c r="CK147" i="2"/>
  <c r="CU147" i="2"/>
  <c r="CS198" i="2"/>
  <c r="DS78" i="2" l="1"/>
  <c r="DS36" i="2"/>
  <c r="DS81" i="2" l="1"/>
  <c r="BF204" i="2"/>
  <c r="BF198" i="2"/>
  <c r="BF184" i="2"/>
  <c r="BF147" i="2"/>
  <c r="BF112" i="2"/>
  <c r="BF104" i="2"/>
  <c r="BF98" i="2"/>
  <c r="BF88" i="2"/>
  <c r="BF91" i="2" s="1"/>
  <c r="BF70" i="2"/>
  <c r="BF57" i="2"/>
  <c r="BF40" i="2"/>
  <c r="BF31" i="2"/>
  <c r="BF20" i="2"/>
  <c r="BF9" i="2"/>
  <c r="DR204" i="2"/>
  <c r="BG203" i="2" l="1"/>
  <c r="BG205" i="2" s="1"/>
  <c r="BF78" i="2"/>
  <c r="BF36" i="2"/>
  <c r="BF96" i="2"/>
  <c r="BF107" i="2" s="1"/>
  <c r="BA11" i="3"/>
  <c r="BA10" i="3"/>
  <c r="BA9" i="3"/>
  <c r="BA8" i="3"/>
  <c r="BA7" i="3"/>
  <c r="BF81" i="2" l="1"/>
  <c r="BF110" i="2"/>
  <c r="BA12" i="3"/>
  <c r="BE147" i="2"/>
  <c r="BE112" i="2"/>
  <c r="BE104" i="2"/>
  <c r="BE88" i="2"/>
  <c r="BE70" i="2"/>
  <c r="BE31" i="2"/>
  <c r="BE20" i="2"/>
  <c r="BE9" i="2"/>
  <c r="BF115" i="2" l="1"/>
  <c r="BF118" i="2" s="1"/>
  <c r="BF125" i="2" s="1"/>
  <c r="BF127" i="2"/>
  <c r="BE36" i="2"/>
  <c r="BE184" i="2"/>
  <c r="BE91" i="2"/>
  <c r="BE204" i="2"/>
  <c r="BF203" i="2" s="1"/>
  <c r="BF205" i="2" s="1"/>
  <c r="BE40" i="2"/>
  <c r="BE57" i="2"/>
  <c r="BE98" i="2"/>
  <c r="BE78" i="2" l="1"/>
  <c r="BE81" i="2" s="1"/>
  <c r="BE96" i="2"/>
  <c r="BE107" i="2" l="1"/>
  <c r="BE110" i="2" l="1"/>
  <c r="BE127" i="2" l="1"/>
  <c r="BE115" i="2"/>
  <c r="BE118" i="2" l="1"/>
  <c r="BE125" i="2" l="1"/>
  <c r="AY11" i="3" l="1"/>
  <c r="AY10" i="3"/>
  <c r="AY9" i="3"/>
  <c r="AY8" i="3"/>
  <c r="AY7" i="3"/>
  <c r="BD104" i="2"/>
  <c r="BD88" i="2"/>
  <c r="BD70" i="2"/>
  <c r="BD31" i="2"/>
  <c r="BD204" i="2"/>
  <c r="DQ204" i="2"/>
  <c r="BE203" i="2" l="1"/>
  <c r="AY12" i="3"/>
  <c r="BD40" i="2"/>
  <c r="BD91" i="2"/>
  <c r="BD112" i="2"/>
  <c r="BD20" i="2"/>
  <c r="BD57" i="2"/>
  <c r="BD9" i="2"/>
  <c r="BD98" i="2"/>
  <c r="DS203" i="2"/>
  <c r="DR203" i="2"/>
  <c r="DT203" i="2"/>
  <c r="BE205" i="2" l="1"/>
  <c r="BD78" i="2"/>
  <c r="BD36" i="2"/>
  <c r="BD96" i="2"/>
  <c r="BD81" i="2" l="1"/>
  <c r="BD107" i="2"/>
  <c r="BD110" i="2" l="1"/>
  <c r="BD115" i="2" l="1"/>
  <c r="BD127" i="2"/>
  <c r="BD118" i="2" l="1"/>
  <c r="BD125" i="2" l="1"/>
  <c r="BD184" i="2" l="1"/>
  <c r="BD147" i="2" l="1"/>
  <c r="AX11" i="3" l="1"/>
  <c r="AX10" i="3"/>
  <c r="AX9" i="3"/>
  <c r="AX8" i="3"/>
  <c r="AX7" i="3"/>
  <c r="AX12" i="3" l="1"/>
  <c r="BB204" i="2" l="1"/>
  <c r="BA204" i="2"/>
  <c r="BB203" i="2" s="1"/>
  <c r="DO204" i="2"/>
  <c r="BC203" i="2" l="1"/>
  <c r="BB205" i="2"/>
  <c r="BC204" i="2"/>
  <c r="BB184" i="2"/>
  <c r="BB147" i="2"/>
  <c r="BB112" i="2"/>
  <c r="BB104" i="2"/>
  <c r="BB98" i="2"/>
  <c r="BB88" i="2"/>
  <c r="BB70" i="2"/>
  <c r="BB57" i="2"/>
  <c r="BB40" i="2"/>
  <c r="BB20" i="2"/>
  <c r="BB9" i="2"/>
  <c r="DP204" i="2"/>
  <c r="DF57" i="2" l="1"/>
  <c r="CZ40" i="2"/>
  <c r="DJ70" i="2"/>
  <c r="CU57" i="2"/>
  <c r="DR70" i="2"/>
  <c r="DL70" i="2"/>
  <c r="CH40" i="2"/>
  <c r="CS40" i="2"/>
  <c r="CQ57" i="2"/>
  <c r="CX31" i="2"/>
  <c r="DE57" i="2"/>
  <c r="CO57" i="2"/>
  <c r="DH70" i="2"/>
  <c r="DQ40" i="2"/>
  <c r="DD31" i="2"/>
  <c r="DN70" i="2"/>
  <c r="DK57" i="2"/>
  <c r="DH31" i="2"/>
  <c r="DP31" i="2"/>
  <c r="CP31" i="2"/>
  <c r="CZ31" i="2"/>
  <c r="CP40" i="2"/>
  <c r="DQ70" i="2"/>
  <c r="DI31" i="2"/>
  <c r="DF40" i="2"/>
  <c r="DI40" i="2"/>
  <c r="CY40" i="2"/>
  <c r="DM57" i="2"/>
  <c r="CN70" i="2"/>
  <c r="CL40" i="2"/>
  <c r="CR70" i="2"/>
  <c r="CW31" i="2"/>
  <c r="CP70" i="2"/>
  <c r="DB40" i="2"/>
  <c r="DP70" i="2"/>
  <c r="DL31" i="2"/>
  <c r="CY57" i="2"/>
  <c r="DC57" i="2"/>
  <c r="CJ70" i="2"/>
  <c r="DB70" i="2"/>
  <c r="DC31" i="2"/>
  <c r="DR31" i="2"/>
  <c r="CO70" i="2"/>
  <c r="DN31" i="2"/>
  <c r="DD70" i="2"/>
  <c r="CR57" i="2"/>
  <c r="DC40" i="2"/>
  <c r="CN31" i="2"/>
  <c r="DF31" i="2"/>
  <c r="DR57" i="2"/>
  <c r="CU40" i="2"/>
  <c r="CN40" i="2"/>
  <c r="DF70" i="2"/>
  <c r="DA57" i="2"/>
  <c r="CM40" i="2"/>
  <c r="CQ31" i="2"/>
  <c r="CH70" i="2"/>
  <c r="CK70" i="2"/>
  <c r="DQ57" i="2"/>
  <c r="DA40" i="2"/>
  <c r="CR31" i="2"/>
  <c r="DE40" i="2"/>
  <c r="CL31" i="2"/>
  <c r="DM31" i="2"/>
  <c r="DA31" i="2"/>
  <c r="DI57" i="2"/>
  <c r="CV70" i="2"/>
  <c r="DK70" i="2"/>
  <c r="CX57" i="2"/>
  <c r="DI70" i="2"/>
  <c r="DE31" i="2"/>
  <c r="CX70" i="2"/>
  <c r="CU31" i="2"/>
  <c r="DB31" i="2"/>
  <c r="DL40" i="2"/>
  <c r="DJ57" i="2"/>
  <c r="DC70" i="2"/>
  <c r="DH57" i="2"/>
  <c r="DO31" i="2"/>
  <c r="CI70" i="2"/>
  <c r="CZ57" i="2"/>
  <c r="CI40" i="2"/>
  <c r="CW57" i="2"/>
  <c r="CV31" i="2"/>
  <c r="DG57" i="2"/>
  <c r="DO40" i="2"/>
  <c r="CW70" i="2"/>
  <c r="DN57" i="2"/>
  <c r="CO40" i="2"/>
  <c r="DG31" i="2"/>
  <c r="DP40" i="2"/>
  <c r="CM31" i="2"/>
  <c r="CO31" i="2"/>
  <c r="CS31" i="2"/>
  <c r="CW40" i="2"/>
  <c r="DP57" i="2"/>
  <c r="DB57" i="2"/>
  <c r="DE70" i="2"/>
  <c r="DA70" i="2"/>
  <c r="DG70" i="2"/>
  <c r="CK40" i="2"/>
  <c r="DD57" i="2"/>
  <c r="DK40" i="2"/>
  <c r="DD40" i="2"/>
  <c r="CL70" i="2"/>
  <c r="DM70" i="2"/>
  <c r="CM70" i="2"/>
  <c r="CK57" i="2"/>
  <c r="DO57" i="2"/>
  <c r="CQ70" i="2"/>
  <c r="CI31" i="2"/>
  <c r="CT31" i="2"/>
  <c r="CY31" i="2"/>
  <c r="DR40" i="2"/>
  <c r="CV57" i="2"/>
  <c r="DG40" i="2"/>
  <c r="CJ40" i="2"/>
  <c r="DJ31" i="2"/>
  <c r="CS57" i="2"/>
  <c r="DH40" i="2"/>
  <c r="DO70" i="2"/>
  <c r="CJ31" i="2"/>
  <c r="CY70" i="2"/>
  <c r="CK31" i="2"/>
  <c r="DJ40" i="2"/>
  <c r="DL57" i="2"/>
  <c r="DK31" i="2"/>
  <c r="CH31" i="2"/>
  <c r="DN40" i="2"/>
  <c r="CV40" i="2"/>
  <c r="CX40" i="2"/>
  <c r="CN57" i="2"/>
  <c r="DM40" i="2"/>
  <c r="DQ31" i="2"/>
  <c r="CP57" i="2"/>
  <c r="CR40" i="2"/>
  <c r="CZ70" i="2"/>
  <c r="BD203" i="2"/>
  <c r="BD205" i="2" s="1"/>
  <c r="BC205" i="2"/>
  <c r="BB91" i="2"/>
  <c r="BB31" i="2"/>
  <c r="BB36" i="2" s="1"/>
  <c r="BB78" i="2"/>
  <c r="DQ36" i="2" l="1"/>
  <c r="CM36" i="2"/>
  <c r="CM57" i="2"/>
  <c r="CM78" i="2" s="1"/>
  <c r="CS70" i="2"/>
  <c r="CS78" i="2" s="1"/>
  <c r="CR78" i="2"/>
  <c r="CP78" i="2"/>
  <c r="CZ36" i="2"/>
  <c r="DB78" i="2"/>
  <c r="CX78" i="2"/>
  <c r="CU36" i="2"/>
  <c r="DC36" i="2"/>
  <c r="CW78" i="2"/>
  <c r="DO78" i="2"/>
  <c r="CV36" i="2"/>
  <c r="DP78" i="2"/>
  <c r="DI78" i="2"/>
  <c r="DJ36" i="2"/>
  <c r="DD78" i="2"/>
  <c r="DG36" i="2"/>
  <c r="CV78" i="2"/>
  <c r="CL36" i="2"/>
  <c r="DH78" i="2"/>
  <c r="CZ78" i="2"/>
  <c r="DC78" i="2"/>
  <c r="CN78" i="2"/>
  <c r="DE78" i="2"/>
  <c r="DJ78" i="2"/>
  <c r="CI36" i="2"/>
  <c r="CK36" i="2"/>
  <c r="CS36" i="2"/>
  <c r="DH36" i="2"/>
  <c r="DF78" i="2"/>
  <c r="CH36" i="2"/>
  <c r="DO36" i="2"/>
  <c r="DR36" i="2"/>
  <c r="DB36" i="2"/>
  <c r="CJ36" i="2"/>
  <c r="CQ36" i="2"/>
  <c r="CK78" i="2"/>
  <c r="CN36" i="2"/>
  <c r="DQ78" i="2"/>
  <c r="DL78" i="2"/>
  <c r="DA78" i="2"/>
  <c r="DN36" i="2"/>
  <c r="DR78" i="2"/>
  <c r="CO36" i="2"/>
  <c r="DI36" i="2"/>
  <c r="CW36" i="2"/>
  <c r="DK78" i="2"/>
  <c r="DL36" i="2"/>
  <c r="CR36" i="2"/>
  <c r="DG78" i="2"/>
  <c r="DA36" i="2"/>
  <c r="DK36" i="2"/>
  <c r="CO78" i="2"/>
  <c r="CY78" i="2"/>
  <c r="DE36" i="2"/>
  <c r="DM78" i="2"/>
  <c r="DP36" i="2"/>
  <c r="DM36" i="2"/>
  <c r="DD36" i="2"/>
  <c r="DF36" i="2"/>
  <c r="CX36" i="2"/>
  <c r="CY36" i="2"/>
  <c r="DN78" i="2"/>
  <c r="BB96" i="2"/>
  <c r="BB107" i="2" s="1"/>
  <c r="BB81" i="2"/>
  <c r="CS81" i="2" l="1"/>
  <c r="CX81" i="2"/>
  <c r="CR81" i="2"/>
  <c r="DB81" i="2"/>
  <c r="CW81" i="2"/>
  <c r="CZ81" i="2"/>
  <c r="DC81" i="2"/>
  <c r="DF81" i="2"/>
  <c r="DH81" i="2"/>
  <c r="CV81" i="2"/>
  <c r="DO81" i="2"/>
  <c r="DQ81" i="2"/>
  <c r="DD81" i="2"/>
  <c r="DP81" i="2"/>
  <c r="DJ81" i="2"/>
  <c r="DI81" i="2"/>
  <c r="CN81" i="2"/>
  <c r="CK81" i="2"/>
  <c r="DG81" i="2"/>
  <c r="DE81" i="2"/>
  <c r="DR81" i="2"/>
  <c r="DL81" i="2"/>
  <c r="DK81" i="2"/>
  <c r="DA81" i="2"/>
  <c r="CM81" i="2"/>
  <c r="DN81" i="2"/>
  <c r="CO81" i="2"/>
  <c r="DM81" i="2"/>
  <c r="CY81" i="2"/>
  <c r="BB110" i="2"/>
  <c r="BB127" i="2" l="1"/>
  <c r="BB115" i="2"/>
  <c r="BB118" i="2" l="1"/>
  <c r="BB125" i="2" l="1"/>
  <c r="AY204" i="2" l="1"/>
  <c r="DM204" i="2"/>
  <c r="AZ11" i="3" l="1"/>
  <c r="AZ10" i="3"/>
  <c r="AZ9" i="3"/>
  <c r="AZ8" i="3"/>
  <c r="AZ7" i="3"/>
  <c r="BA184" i="2"/>
  <c r="BA147" i="2"/>
  <c r="BA112" i="2"/>
  <c r="BA104" i="2"/>
  <c r="BA98" i="2"/>
  <c r="BA88" i="2"/>
  <c r="BA70" i="2"/>
  <c r="BA57" i="2"/>
  <c r="BA40" i="2"/>
  <c r="BA31" i="2"/>
  <c r="BA20" i="2"/>
  <c r="BA9" i="2"/>
  <c r="BA36" i="2" l="1"/>
  <c r="BA91" i="2"/>
  <c r="BA78" i="2"/>
  <c r="AZ12" i="3"/>
  <c r="BA81" i="2" l="1"/>
  <c r="BA96" i="2"/>
  <c r="BA107" i="2" l="1"/>
  <c r="BA110" i="2" s="1"/>
  <c r="BA127" i="2" l="1"/>
  <c r="BA115" i="2"/>
  <c r="BA118" i="2" l="1"/>
  <c r="BA125" i="2" l="1"/>
  <c r="AV11" i="3" l="1"/>
  <c r="AV10" i="3"/>
  <c r="AV9" i="3"/>
  <c r="AV8" i="3"/>
  <c r="AV7" i="3"/>
  <c r="AV12" i="3" l="1"/>
  <c r="AZ204" i="2" l="1"/>
  <c r="AZ184" i="2"/>
  <c r="AZ147" i="2"/>
  <c r="AZ112" i="2"/>
  <c r="AZ104" i="2"/>
  <c r="AZ88" i="2"/>
  <c r="AZ70" i="2"/>
  <c r="AZ57" i="2"/>
  <c r="AZ40" i="2"/>
  <c r="AZ31" i="2"/>
  <c r="DN204" i="2"/>
  <c r="BA203" i="2" l="1"/>
  <c r="AZ91" i="2"/>
  <c r="AZ98" i="2"/>
  <c r="AZ20" i="2"/>
  <c r="AZ78" i="2"/>
  <c r="AZ9" i="2"/>
  <c r="DQ203" i="2"/>
  <c r="DO203" i="2"/>
  <c r="DP203" i="2"/>
  <c r="BA205" i="2" l="1"/>
  <c r="AZ96" i="2"/>
  <c r="AZ36" i="2"/>
  <c r="AZ107" i="2" l="1"/>
  <c r="AZ81" i="2"/>
  <c r="AZ110" i="2" l="1"/>
  <c r="AZ127" i="2" s="1"/>
  <c r="AZ115" i="2" l="1"/>
  <c r="AZ118" i="2" l="1"/>
  <c r="AZ125" i="2" l="1"/>
  <c r="AX204" i="2" l="1"/>
  <c r="DL204" i="2"/>
  <c r="AY203" i="2" l="1"/>
  <c r="AY205" i="2" s="1"/>
  <c r="AZ203" i="2"/>
  <c r="AZ205" i="2" l="1"/>
  <c r="AU11" i="3" l="1"/>
  <c r="AU10" i="3"/>
  <c r="AU9" i="3"/>
  <c r="AU8" i="3"/>
  <c r="AU7" i="3"/>
  <c r="AY184" i="2"/>
  <c r="AY147" i="2"/>
  <c r="AY112" i="2"/>
  <c r="AY104" i="2"/>
  <c r="AY98" i="2"/>
  <c r="AY88" i="2"/>
  <c r="AY70" i="2"/>
  <c r="AY57" i="2"/>
  <c r="AY40" i="2"/>
  <c r="AY31" i="2"/>
  <c r="AY20" i="2"/>
  <c r="AY9" i="2"/>
  <c r="AY91" i="2" l="1"/>
  <c r="AU12" i="3"/>
  <c r="AY36" i="2"/>
  <c r="AY78" i="2"/>
  <c r="AY96" i="2" l="1"/>
  <c r="AY81" i="2"/>
  <c r="AY107" i="2" l="1"/>
  <c r="AY110" i="2" s="1"/>
  <c r="AY127" i="2" l="1"/>
  <c r="AY115" i="2"/>
  <c r="AY118" i="2" l="1"/>
  <c r="AY125" i="2" l="1"/>
  <c r="AW11" i="3" l="1"/>
  <c r="AT11" i="3"/>
  <c r="AW10" i="3"/>
  <c r="AT10" i="3"/>
  <c r="AW9" i="3"/>
  <c r="AT9" i="3"/>
  <c r="AW8" i="3"/>
  <c r="AT8" i="3"/>
  <c r="AW7" i="3"/>
  <c r="AT7" i="3"/>
  <c r="AT12" i="3" l="1"/>
  <c r="AW12" i="3"/>
  <c r="BC57" i="2" l="1"/>
  <c r="BC20" i="2"/>
  <c r="BC9" i="2"/>
  <c r="BC40" i="2" l="1"/>
  <c r="BC88" i="2"/>
  <c r="BC184" i="2" l="1"/>
  <c r="BC147" i="2"/>
  <c r="AX88" i="2" l="1"/>
  <c r="AX147" i="2" l="1"/>
  <c r="AX184" i="2"/>
  <c r="AX40" i="2"/>
  <c r="AX57" i="2"/>
  <c r="AX9" i="2"/>
  <c r="AX20" i="2" l="1"/>
  <c r="AV193" i="2" l="1"/>
  <c r="AV198" i="2" s="1"/>
  <c r="AW147" i="2" l="1"/>
  <c r="AW184" i="2"/>
  <c r="AW204" i="2"/>
  <c r="AW88" i="2"/>
  <c r="AW57" i="2"/>
  <c r="AW40" i="2"/>
  <c r="AW20" i="2"/>
  <c r="AW9" i="2"/>
  <c r="AX203" i="2" l="1"/>
  <c r="AX205" i="2" s="1"/>
  <c r="AS7" i="3" l="1"/>
  <c r="AS11" i="3"/>
  <c r="AS10" i="3"/>
  <c r="AS9" i="3"/>
  <c r="AS8" i="3"/>
  <c r="AS12" i="3" l="1"/>
  <c r="BC112" i="2" l="1"/>
  <c r="BC91" i="2"/>
  <c r="BC104" i="2"/>
  <c r="BC70" i="2"/>
  <c r="BC98" i="2"/>
  <c r="AX91" i="2"/>
  <c r="AX112" i="2"/>
  <c r="AX70" i="2"/>
  <c r="AX104" i="2"/>
  <c r="AX98" i="2"/>
  <c r="AW91" i="2"/>
  <c r="AW112" i="2"/>
  <c r="AW70" i="2"/>
  <c r="AW104" i="2"/>
  <c r="AW98" i="2"/>
  <c r="AW31" i="2"/>
  <c r="AW36" i="2" s="1"/>
  <c r="BC96" i="2" l="1"/>
  <c r="BC31" i="2"/>
  <c r="BC78" i="2"/>
  <c r="AX31" i="2"/>
  <c r="AX96" i="2"/>
  <c r="AX78" i="2"/>
  <c r="AW96" i="2"/>
  <c r="AW78" i="2"/>
  <c r="AW81" i="2" s="1"/>
  <c r="BC36" i="2" l="1"/>
  <c r="BC81" i="2" s="1"/>
  <c r="BC107" i="2"/>
  <c r="AX36" i="2"/>
  <c r="AX107" i="2"/>
  <c r="AW107" i="2"/>
  <c r="BC110" i="2" l="1"/>
  <c r="BC127" i="2" s="1"/>
  <c r="AX81" i="2"/>
  <c r="AX110" i="2"/>
  <c r="AW110" i="2"/>
  <c r="AW115" i="2" s="1"/>
  <c r="BC115" i="2" l="1"/>
  <c r="AX127" i="2"/>
  <c r="AX115" i="2"/>
  <c r="AW127" i="2"/>
  <c r="AW118" i="2"/>
  <c r="BC118" i="2" l="1"/>
  <c r="AX118" i="2"/>
  <c r="AW125" i="2"/>
  <c r="BC125" i="2" l="1"/>
  <c r="AX125" i="2"/>
  <c r="AR204" i="2" l="1"/>
  <c r="AS204" i="2"/>
  <c r="AT203" i="2" s="1"/>
  <c r="AT204" i="2"/>
  <c r="AU204" i="2"/>
  <c r="AV204" i="2"/>
  <c r="AQ204" i="2"/>
  <c r="AV147" i="2"/>
  <c r="AU147" i="2"/>
  <c r="AT147" i="2"/>
  <c r="AS147" i="2"/>
  <c r="AR147" i="2"/>
  <c r="AR184" i="2"/>
  <c r="AS184" i="2"/>
  <c r="AT184" i="2"/>
  <c r="AU184" i="2"/>
  <c r="AR98" i="2"/>
  <c r="AS98" i="2"/>
  <c r="AT98" i="2"/>
  <c r="AU98" i="2"/>
  <c r="AR104" i="2"/>
  <c r="AS104" i="2"/>
  <c r="AT104" i="2"/>
  <c r="AU104" i="2"/>
  <c r="AR112" i="2"/>
  <c r="AS112" i="2"/>
  <c r="AT112" i="2"/>
  <c r="AU112" i="2"/>
  <c r="AQ88" i="2"/>
  <c r="AR88" i="2"/>
  <c r="AS88" i="2"/>
  <c r="AT88" i="2"/>
  <c r="AU88" i="2"/>
  <c r="AV88" i="2"/>
  <c r="DG204" i="2"/>
  <c r="DJ204" i="2"/>
  <c r="DH204" i="2"/>
  <c r="DK204" i="2"/>
  <c r="DI204" i="2"/>
  <c r="AR203" i="2" l="1"/>
  <c r="AR205" i="2" s="1"/>
  <c r="AV203" i="2"/>
  <c r="AV205" i="2" s="1"/>
  <c r="AW203" i="2"/>
  <c r="AU91" i="2"/>
  <c r="AT91" i="2"/>
  <c r="AS91" i="2"/>
  <c r="AR91" i="2"/>
  <c r="AU203" i="2"/>
  <c r="AU205" i="2" s="1"/>
  <c r="AS203" i="2"/>
  <c r="AT205" i="2"/>
  <c r="DL203" i="2"/>
  <c r="DI203" i="2"/>
  <c r="DM203" i="2"/>
  <c r="DJ203" i="2"/>
  <c r="DN203" i="2"/>
  <c r="DK203" i="2"/>
  <c r="AW205" i="2" l="1"/>
  <c r="AS205" i="2"/>
  <c r="AU96" i="2"/>
  <c r="AT96" i="2"/>
  <c r="AS96" i="2"/>
  <c r="AR96" i="2"/>
  <c r="AU107" i="2" l="1"/>
  <c r="AT107" i="2"/>
  <c r="AT110" i="2" s="1"/>
  <c r="AS107" i="2"/>
  <c r="AR107" i="2"/>
  <c r="AU110" i="2" l="1"/>
  <c r="AU127" i="2" s="1"/>
  <c r="AS110" i="2"/>
  <c r="AS115" i="2" s="1"/>
  <c r="AT127" i="2"/>
  <c r="AT115" i="2"/>
  <c r="AR110" i="2"/>
  <c r="AR115" i="2" s="1"/>
  <c r="AU57" i="2"/>
  <c r="AT57" i="2"/>
  <c r="AS57" i="2"/>
  <c r="AR57" i="2"/>
  <c r="AU40" i="2"/>
  <c r="AT40" i="2"/>
  <c r="AS40" i="2"/>
  <c r="AR40" i="2"/>
  <c r="AU20" i="2"/>
  <c r="AT20" i="2"/>
  <c r="AS20" i="2"/>
  <c r="AR20" i="2"/>
  <c r="AV20" i="2"/>
  <c r="AV9" i="2"/>
  <c r="AU9" i="2"/>
  <c r="AT9" i="2"/>
  <c r="AS9" i="2"/>
  <c r="AR9" i="2"/>
  <c r="AQ31" i="2"/>
  <c r="AU115" i="2" l="1"/>
  <c r="AT118" i="2"/>
  <c r="AS118" i="2"/>
  <c r="AS127" i="2"/>
  <c r="AR127" i="2"/>
  <c r="AR118" i="2"/>
  <c r="AU118" i="2" l="1"/>
  <c r="AS125" i="2"/>
  <c r="AT125" i="2"/>
  <c r="AR125" i="2"/>
  <c r="AU125" i="2" l="1"/>
  <c r="AU31" i="2" l="1"/>
  <c r="AU36" i="2" s="1"/>
  <c r="AT31" i="2"/>
  <c r="AT36" i="2" s="1"/>
  <c r="AS31" i="2"/>
  <c r="AS36" i="2" s="1"/>
  <c r="AR31" i="2"/>
  <c r="AR36" i="2" s="1"/>
  <c r="AQ184" i="2"/>
  <c r="AT78" i="2" l="1"/>
  <c r="AT81" i="2" s="1"/>
  <c r="AS78" i="2"/>
  <c r="AS81" i="2" s="1"/>
  <c r="AR78" i="2"/>
  <c r="AR81" i="2" s="1"/>
  <c r="AU78" i="2" l="1"/>
  <c r="AU81" i="2" l="1"/>
  <c r="AQ20" i="2" l="1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AP20" i="2"/>
  <c r="AP204" i="2"/>
  <c r="AO104" i="2"/>
  <c r="AO88" i="2"/>
  <c r="AO98" i="2"/>
  <c r="AO70" i="2"/>
  <c r="AO112" i="2"/>
  <c r="AL184" i="2"/>
  <c r="AL147" i="2"/>
  <c r="AM204" i="2"/>
  <c r="AM147" i="2"/>
  <c r="AL112" i="2"/>
  <c r="AL70" i="2"/>
  <c r="AL57" i="2"/>
  <c r="AJ95" i="2"/>
  <c r="AJ94" i="2"/>
  <c r="AJ90" i="2"/>
  <c r="AJ87" i="2"/>
  <c r="AJ86" i="2"/>
  <c r="AK57" i="2"/>
  <c r="AM57" i="2"/>
  <c r="AN57" i="2"/>
  <c r="AO57" i="2"/>
  <c r="AP57" i="2"/>
  <c r="AQ57" i="2"/>
  <c r="AV57" i="2"/>
  <c r="AK40" i="2"/>
  <c r="AL40" i="2"/>
  <c r="AM40" i="2"/>
  <c r="AN40" i="2"/>
  <c r="AO40" i="2"/>
  <c r="AP40" i="2"/>
  <c r="AQ40" i="2"/>
  <c r="AV40" i="2"/>
  <c r="AK31" i="2"/>
  <c r="AL31" i="2"/>
  <c r="AM31" i="2"/>
  <c r="AN31" i="2"/>
  <c r="AO31" i="2"/>
  <c r="AP31" i="2"/>
  <c r="AV31" i="2"/>
  <c r="AK9" i="2"/>
  <c r="AL9" i="2"/>
  <c r="AM9" i="2"/>
  <c r="AN9" i="2"/>
  <c r="AO9" i="2"/>
  <c r="AP9" i="2"/>
  <c r="AQ9" i="2"/>
  <c r="AJ31" i="2"/>
  <c r="AN70" i="2"/>
  <c r="AK70" i="2"/>
  <c r="AP70" i="2"/>
  <c r="AV70" i="2"/>
  <c r="AK88" i="2"/>
  <c r="AK204" i="2"/>
  <c r="AL204" i="2"/>
  <c r="AN204" i="2"/>
  <c r="AO204" i="2"/>
  <c r="AP203" i="2" s="1"/>
  <c r="AM88" i="2"/>
  <c r="AK112" i="2"/>
  <c r="AM70" i="2"/>
  <c r="AL104" i="2"/>
  <c r="AK104" i="2"/>
  <c r="AK98" i="2"/>
  <c r="AL88" i="2"/>
  <c r="AM112" i="2"/>
  <c r="AN88" i="2"/>
  <c r="AL98" i="2"/>
  <c r="AM104" i="2"/>
  <c r="AN104" i="2"/>
  <c r="AM98" i="2"/>
  <c r="AN112" i="2"/>
  <c r="AN98" i="2"/>
  <c r="AP88" i="2"/>
  <c r="AI193" i="2"/>
  <c r="AP112" i="2"/>
  <c r="AP104" i="2"/>
  <c r="AP98" i="2"/>
  <c r="AV104" i="2"/>
  <c r="AQ104" i="2"/>
  <c r="AV112" i="2"/>
  <c r="AQ112" i="2"/>
  <c r="AQ98" i="2"/>
  <c r="AK184" i="2"/>
  <c r="AM184" i="2"/>
  <c r="AN184" i="2"/>
  <c r="AJ104" i="2"/>
  <c r="AJ112" i="2"/>
  <c r="AJ98" i="2"/>
  <c r="AO184" i="2"/>
  <c r="V205" i="2"/>
  <c r="S205" i="2"/>
  <c r="R205" i="2"/>
  <c r="Q205" i="2"/>
  <c r="P205" i="2"/>
  <c r="O205" i="2"/>
  <c r="N205" i="2"/>
  <c r="M205" i="2"/>
  <c r="L205" i="2"/>
  <c r="K205" i="2"/>
  <c r="J205" i="2"/>
  <c r="I205" i="2"/>
  <c r="H205" i="2"/>
  <c r="G205" i="2"/>
  <c r="F205" i="2"/>
  <c r="E205" i="2"/>
  <c r="AJ204" i="2"/>
  <c r="AH204" i="2"/>
  <c r="AG204" i="2"/>
  <c r="AH203" i="2" s="1"/>
  <c r="AF204" i="2"/>
  <c r="AE204" i="2"/>
  <c r="AD204" i="2"/>
  <c r="AC204" i="2"/>
  <c r="AE203" i="2" s="1"/>
  <c r="AB204" i="2"/>
  <c r="AA204" i="2"/>
  <c r="AC203" i="2" s="1"/>
  <c r="Z204" i="2"/>
  <c r="Y204" i="2"/>
  <c r="AA203" i="2" s="1"/>
  <c r="X204" i="2"/>
  <c r="W204" i="2"/>
  <c r="U204" i="2"/>
  <c r="T204" i="2"/>
  <c r="AI189" i="2"/>
  <c r="AJ184" i="2"/>
  <c r="AH184" i="2"/>
  <c r="AG184" i="2"/>
  <c r="AF184" i="2"/>
  <c r="AE184" i="2"/>
  <c r="AD184" i="2"/>
  <c r="AC184" i="2"/>
  <c r="AB184" i="2"/>
  <c r="AA184" i="2"/>
  <c r="Z184" i="2"/>
  <c r="Y184" i="2"/>
  <c r="X184" i="2"/>
  <c r="W184" i="2"/>
  <c r="V184" i="2"/>
  <c r="U184" i="2"/>
  <c r="T184" i="2"/>
  <c r="S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F184" i="2"/>
  <c r="E184" i="2"/>
  <c r="AI182" i="2"/>
  <c r="X167" i="2"/>
  <c r="AI164" i="2"/>
  <c r="AH147" i="2"/>
  <c r="AG147" i="2"/>
  <c r="AF147" i="2"/>
  <c r="AE147" i="2"/>
  <c r="AD147" i="2"/>
  <c r="AC147" i="2"/>
  <c r="AB147" i="2"/>
  <c r="AA147" i="2"/>
  <c r="Z147" i="2"/>
  <c r="Y147" i="2"/>
  <c r="W147" i="2"/>
  <c r="V147" i="2"/>
  <c r="U147" i="2"/>
  <c r="T147" i="2"/>
  <c r="S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E147" i="2"/>
  <c r="AE129" i="2"/>
  <c r="AC129" i="2"/>
  <c r="AA129" i="2"/>
  <c r="Y129" i="2"/>
  <c r="AI112" i="2"/>
  <c r="AH112" i="2"/>
  <c r="AG112" i="2"/>
  <c r="AF112" i="2"/>
  <c r="AE112" i="2"/>
  <c r="AD112" i="2"/>
  <c r="AC112" i="2"/>
  <c r="AB112" i="2"/>
  <c r="AA112" i="2"/>
  <c r="Z112" i="2"/>
  <c r="Y112" i="2"/>
  <c r="X112" i="2"/>
  <c r="W112" i="2"/>
  <c r="V112" i="2"/>
  <c r="U112" i="2"/>
  <c r="T112" i="2"/>
  <c r="S112" i="2"/>
  <c r="R112" i="2"/>
  <c r="Q112" i="2"/>
  <c r="P112" i="2"/>
  <c r="O112" i="2"/>
  <c r="N112" i="2"/>
  <c r="M112" i="2"/>
  <c r="L112" i="2"/>
  <c r="K112" i="2"/>
  <c r="J112" i="2"/>
  <c r="I112" i="2"/>
  <c r="H112" i="2"/>
  <c r="G112" i="2"/>
  <c r="F112" i="2"/>
  <c r="E112" i="2"/>
  <c r="AD106" i="2"/>
  <c r="AD105" i="2"/>
  <c r="AI104" i="2"/>
  <c r="AH104" i="2"/>
  <c r="AG104" i="2"/>
  <c r="AF104" i="2"/>
  <c r="AE104" i="2"/>
  <c r="AC104" i="2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H104" i="2"/>
  <c r="G104" i="2"/>
  <c r="F104" i="2"/>
  <c r="E104" i="2"/>
  <c r="G103" i="2"/>
  <c r="AD102" i="2"/>
  <c r="AD101" i="2"/>
  <c r="AD100" i="2"/>
  <c r="M100" i="2"/>
  <c r="AD99" i="2"/>
  <c r="N99" i="2"/>
  <c r="M99" i="2"/>
  <c r="L99" i="2"/>
  <c r="AH98" i="2"/>
  <c r="AG98" i="2"/>
  <c r="AF98" i="2"/>
  <c r="AE98" i="2"/>
  <c r="AC98" i="2"/>
  <c r="AB98" i="2"/>
  <c r="AA98" i="2"/>
  <c r="Z98" i="2"/>
  <c r="Y98" i="2"/>
  <c r="X98" i="2"/>
  <c r="W98" i="2"/>
  <c r="V98" i="2"/>
  <c r="U98" i="2"/>
  <c r="T98" i="2"/>
  <c r="S98" i="2"/>
  <c r="R98" i="2"/>
  <c r="Q98" i="2"/>
  <c r="P98" i="2"/>
  <c r="O98" i="2"/>
  <c r="K98" i="2"/>
  <c r="J98" i="2"/>
  <c r="I98" i="2"/>
  <c r="H98" i="2"/>
  <c r="F98" i="2"/>
  <c r="E98" i="2"/>
  <c r="AD90" i="2"/>
  <c r="AH88" i="2"/>
  <c r="AG88" i="2"/>
  <c r="AF88" i="2"/>
  <c r="AE88" i="2"/>
  <c r="AE91" i="2" s="1"/>
  <c r="AC88" i="2"/>
  <c r="AC91" i="2" s="1"/>
  <c r="AB88" i="2"/>
  <c r="AA88" i="2"/>
  <c r="AA91" i="2" s="1"/>
  <c r="Z88" i="2"/>
  <c r="Y88" i="2"/>
  <c r="Y91" i="2" s="1"/>
  <c r="X88" i="2"/>
  <c r="W88" i="2"/>
  <c r="V88" i="2"/>
  <c r="U88" i="2"/>
  <c r="T88" i="2"/>
  <c r="S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AI88" i="2"/>
  <c r="AD87" i="2"/>
  <c r="AD86" i="2"/>
  <c r="W76" i="2"/>
  <c r="AI70" i="2"/>
  <c r="V72" i="2"/>
  <c r="AJ70" i="2"/>
  <c r="AH70" i="2"/>
  <c r="AG70" i="2"/>
  <c r="AF70" i="2"/>
  <c r="AE70" i="2"/>
  <c r="AD70" i="2"/>
  <c r="AC70" i="2"/>
  <c r="AB70" i="2"/>
  <c r="AA70" i="2"/>
  <c r="Z70" i="2"/>
  <c r="Y70" i="2"/>
  <c r="X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K66" i="2"/>
  <c r="I66" i="2"/>
  <c r="I57" i="2" s="1"/>
  <c r="H66" i="2"/>
  <c r="G66" i="2"/>
  <c r="F66" i="2"/>
  <c r="E66" i="2"/>
  <c r="V58" i="2"/>
  <c r="AJ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U57" i="2"/>
  <c r="T57" i="2"/>
  <c r="S57" i="2"/>
  <c r="R57" i="2"/>
  <c r="Q57" i="2"/>
  <c r="P57" i="2"/>
  <c r="O57" i="2"/>
  <c r="N57" i="2"/>
  <c r="M57" i="2"/>
  <c r="L57" i="2"/>
  <c r="J57" i="2"/>
  <c r="V55" i="2"/>
  <c r="R55" i="2"/>
  <c r="V41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U40" i="2"/>
  <c r="T40" i="2"/>
  <c r="S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AI9" i="2"/>
  <c r="V10" i="2"/>
  <c r="AJ9" i="2"/>
  <c r="AH9" i="2"/>
  <c r="AG9" i="2"/>
  <c r="AF9" i="2"/>
  <c r="AE9" i="2"/>
  <c r="AD9" i="2"/>
  <c r="AC9" i="2"/>
  <c r="AB9" i="2"/>
  <c r="AA9" i="2"/>
  <c r="Z9" i="2"/>
  <c r="Y9" i="2"/>
  <c r="X9" i="2"/>
  <c r="W9" i="2"/>
  <c r="U9" i="2"/>
  <c r="T9" i="2"/>
  <c r="S9" i="2"/>
  <c r="R9" i="2"/>
  <c r="Q9" i="2"/>
  <c r="O9" i="2"/>
  <c r="N9" i="2"/>
  <c r="M9" i="2"/>
  <c r="L9" i="2"/>
  <c r="K9" i="2"/>
  <c r="J9" i="2"/>
  <c r="I9" i="2"/>
  <c r="H9" i="2"/>
  <c r="G9" i="2"/>
  <c r="F9" i="2"/>
  <c r="E9" i="2"/>
  <c r="AJ147" i="2"/>
  <c r="AP184" i="2"/>
  <c r="AI204" i="2"/>
  <c r="AI57" i="2"/>
  <c r="AI98" i="2"/>
  <c r="AV184" i="2"/>
  <c r="AK147" i="2"/>
  <c r="AN147" i="2"/>
  <c r="AO147" i="2"/>
  <c r="AP147" i="2"/>
  <c r="AQ147" i="2"/>
  <c r="DD204" i="2"/>
  <c r="EI90" i="2" l="1"/>
  <c r="EJ90" i="2"/>
  <c r="EL90" i="2"/>
  <c r="EK90" i="2"/>
  <c r="EI106" i="2"/>
  <c r="EJ106" i="2"/>
  <c r="EL106" i="2"/>
  <c r="EK106" i="2"/>
  <c r="EI167" i="2"/>
  <c r="EK167" i="2"/>
  <c r="EL167" i="2"/>
  <c r="EJ167" i="2"/>
  <c r="EJ112" i="2"/>
  <c r="EL112" i="2"/>
  <c r="EK112" i="2"/>
  <c r="EI182" i="2"/>
  <c r="EI184" i="2" s="1"/>
  <c r="EK182" i="2"/>
  <c r="EK184" i="2" s="1"/>
  <c r="EL182" i="2"/>
  <c r="EL184" i="2" s="1"/>
  <c r="EJ182" i="2"/>
  <c r="EJ184" i="2" s="1"/>
  <c r="EI94" i="2"/>
  <c r="EJ94" i="2"/>
  <c r="EK94" i="2"/>
  <c r="EL94" i="2"/>
  <c r="EI164" i="2"/>
  <c r="EK164" i="2"/>
  <c r="EL164" i="2"/>
  <c r="EJ164" i="2"/>
  <c r="EI100" i="2"/>
  <c r="EL100" i="2"/>
  <c r="EJ100" i="2"/>
  <c r="EK100" i="2"/>
  <c r="EI95" i="2"/>
  <c r="EJ95" i="2"/>
  <c r="EK95" i="2"/>
  <c r="EL95" i="2"/>
  <c r="EI105" i="2"/>
  <c r="EJ105" i="2"/>
  <c r="EK105" i="2"/>
  <c r="EL105" i="2"/>
  <c r="EI189" i="2"/>
  <c r="EJ189" i="2"/>
  <c r="EL189" i="2"/>
  <c r="EK189" i="2"/>
  <c r="EI102" i="2"/>
  <c r="EL102" i="2"/>
  <c r="EJ102" i="2"/>
  <c r="EK102" i="2"/>
  <c r="EI101" i="2"/>
  <c r="EK101" i="2"/>
  <c r="EJ101" i="2"/>
  <c r="EL101" i="2"/>
  <c r="EI193" i="2"/>
  <c r="EL193" i="2"/>
  <c r="EK193" i="2"/>
  <c r="EJ193" i="2"/>
  <c r="EI86" i="2"/>
  <c r="EK86" i="2"/>
  <c r="EL86" i="2"/>
  <c r="EJ86" i="2"/>
  <c r="EL87" i="2"/>
  <c r="EJ87" i="2"/>
  <c r="EK87" i="2"/>
  <c r="EJ99" i="2"/>
  <c r="EK99" i="2"/>
  <c r="EL99" i="2"/>
  <c r="EI103" i="2"/>
  <c r="EK103" i="2"/>
  <c r="EL103" i="2"/>
  <c r="EJ103" i="2"/>
  <c r="E57" i="2"/>
  <c r="EI112" i="2"/>
  <c r="EI99" i="2"/>
  <c r="EI87" i="2"/>
  <c r="CU76" i="2"/>
  <c r="CT10" i="2"/>
  <c r="CX204" i="2"/>
  <c r="CY204" i="2"/>
  <c r="CH66" i="2"/>
  <c r="CW204" i="2"/>
  <c r="CS204" i="2"/>
  <c r="DE204" i="2"/>
  <c r="DF204" i="2"/>
  <c r="CZ204" i="2"/>
  <c r="CL66" i="2"/>
  <c r="DA204" i="2"/>
  <c r="CU204" i="2"/>
  <c r="CI66" i="2"/>
  <c r="CT55" i="2"/>
  <c r="CQ55" i="2"/>
  <c r="CV204" i="2"/>
  <c r="DC204" i="2"/>
  <c r="CT72" i="2"/>
  <c r="DB204" i="2"/>
  <c r="EJ147" i="2" l="1"/>
  <c r="EK88" i="2"/>
  <c r="EJ88" i="2"/>
  <c r="EJ91" i="2" s="1"/>
  <c r="EK198" i="2"/>
  <c r="EL198" i="2"/>
  <c r="EJ198" i="2"/>
  <c r="EL147" i="2"/>
  <c r="EK147" i="2"/>
  <c r="EL88" i="2"/>
  <c r="EL91" i="2" s="1"/>
  <c r="EI147" i="2"/>
  <c r="EI88" i="2"/>
  <c r="EI91" i="2" s="1"/>
  <c r="EK91" i="2"/>
  <c r="EI198" i="2"/>
  <c r="EG99" i="2"/>
  <c r="EH99" i="2"/>
  <c r="EF86" i="2"/>
  <c r="EG86" i="2"/>
  <c r="EH86" i="2"/>
  <c r="EH87" i="2"/>
  <c r="EG87" i="2"/>
  <c r="EH105" i="2"/>
  <c r="EG105" i="2"/>
  <c r="EH100" i="2"/>
  <c r="EG100" i="2"/>
  <c r="EH106" i="2"/>
  <c r="EG106" i="2"/>
  <c r="EH112" i="2"/>
  <c r="EG112" i="2"/>
  <c r="AJ93" i="2"/>
  <c r="EG94" i="2"/>
  <c r="EH94" i="2"/>
  <c r="EH101" i="2"/>
  <c r="EG101" i="2"/>
  <c r="EG193" i="2"/>
  <c r="EH193" i="2"/>
  <c r="EG95" i="2"/>
  <c r="EH95" i="2"/>
  <c r="EH102" i="2"/>
  <c r="EG102" i="2"/>
  <c r="EG189" i="2"/>
  <c r="EH189" i="2"/>
  <c r="EG103" i="2"/>
  <c r="EH103" i="2"/>
  <c r="EG182" i="2"/>
  <c r="EG184" i="2" s="1"/>
  <c r="EH182" i="2"/>
  <c r="EH184" i="2" s="1"/>
  <c r="EG164" i="2"/>
  <c r="EH164" i="2"/>
  <c r="EH90" i="2"/>
  <c r="EG90" i="2"/>
  <c r="EH167" i="2"/>
  <c r="EG167" i="2"/>
  <c r="DR101" i="2"/>
  <c r="DH101" i="2"/>
  <c r="DQ101" i="2"/>
  <c r="DA101" i="2"/>
  <c r="DZ101" i="2"/>
  <c r="DL101" i="2"/>
  <c r="DI101" i="2"/>
  <c r="DJ101" i="2"/>
  <c r="DO101" i="2"/>
  <c r="DT101" i="2"/>
  <c r="ED101" i="2"/>
  <c r="EF101" i="2"/>
  <c r="EC101" i="2"/>
  <c r="DK101" i="2"/>
  <c r="DW101" i="2"/>
  <c r="DM101" i="2"/>
  <c r="EB101" i="2"/>
  <c r="DD101" i="2"/>
  <c r="DP101" i="2"/>
  <c r="DY101" i="2"/>
  <c r="DC101" i="2"/>
  <c r="CX101" i="2"/>
  <c r="CZ101" i="2"/>
  <c r="DS101" i="2"/>
  <c r="CY101" i="2"/>
  <c r="DX101" i="2"/>
  <c r="DN101" i="2"/>
  <c r="DU101" i="2"/>
  <c r="DF101" i="2"/>
  <c r="DE101" i="2"/>
  <c r="EA101" i="2"/>
  <c r="DB101" i="2"/>
  <c r="EE101" i="2"/>
  <c r="DG101" i="2"/>
  <c r="DV101" i="2"/>
  <c r="EE90" i="2"/>
  <c r="DZ90" i="2"/>
  <c r="DV90" i="2"/>
  <c r="DQ90" i="2"/>
  <c r="DP90" i="2"/>
  <c r="DE90" i="2"/>
  <c r="DA90" i="2"/>
  <c r="DC90" i="2"/>
  <c r="EC90" i="2"/>
  <c r="DU90" i="2"/>
  <c r="DM90" i="2"/>
  <c r="DF90" i="2"/>
  <c r="DS90" i="2"/>
  <c r="DI90" i="2"/>
  <c r="CZ90" i="2"/>
  <c r="CY90" i="2"/>
  <c r="DX90" i="2"/>
  <c r="CX90" i="2"/>
  <c r="DO90" i="2"/>
  <c r="EA90" i="2"/>
  <c r="DL90" i="2"/>
  <c r="DH90" i="2"/>
  <c r="DW90" i="2"/>
  <c r="DT90" i="2"/>
  <c r="DG90" i="2"/>
  <c r="DB90" i="2"/>
  <c r="DY90" i="2"/>
  <c r="DK90" i="2"/>
  <c r="EF90" i="2"/>
  <c r="DN90" i="2"/>
  <c r="DR90" i="2"/>
  <c r="EB90" i="2"/>
  <c r="DD90" i="2"/>
  <c r="DJ90" i="2"/>
  <c r="ED90" i="2"/>
  <c r="CX106" i="2"/>
  <c r="DP106" i="2"/>
  <c r="DM106" i="2"/>
  <c r="DI106" i="2"/>
  <c r="DU106" i="2"/>
  <c r="DG106" i="2"/>
  <c r="DY106" i="2"/>
  <c r="EC106" i="2"/>
  <c r="DC106" i="2"/>
  <c r="DL106" i="2"/>
  <c r="DX106" i="2"/>
  <c r="DO106" i="2"/>
  <c r="DF106" i="2"/>
  <c r="DS106" i="2"/>
  <c r="DN106" i="2"/>
  <c r="CZ106" i="2"/>
  <c r="DT106" i="2"/>
  <c r="DE106" i="2"/>
  <c r="EA106" i="2"/>
  <c r="EB106" i="2"/>
  <c r="DW106" i="2"/>
  <c r="DR106" i="2"/>
  <c r="EE106" i="2"/>
  <c r="EF106" i="2"/>
  <c r="DA106" i="2"/>
  <c r="DK106" i="2"/>
  <c r="DD106" i="2"/>
  <c r="DV106" i="2"/>
  <c r="DB106" i="2"/>
  <c r="CY106" i="2"/>
  <c r="DZ106" i="2"/>
  <c r="DQ106" i="2"/>
  <c r="DJ106" i="2"/>
  <c r="DH106" i="2"/>
  <c r="ED106" i="2"/>
  <c r="CM104" i="2"/>
  <c r="CH104" i="2"/>
  <c r="CV104" i="2"/>
  <c r="CU104" i="2"/>
  <c r="CK104" i="2"/>
  <c r="CJ104" i="2"/>
  <c r="CW104" i="2"/>
  <c r="CS104" i="2"/>
  <c r="CR104" i="2"/>
  <c r="CT104" i="2"/>
  <c r="CI104" i="2"/>
  <c r="CL104" i="2"/>
  <c r="CO104" i="2"/>
  <c r="CP104" i="2"/>
  <c r="CQ104" i="2"/>
  <c r="CN104" i="2"/>
  <c r="DS112" i="2"/>
  <c r="DU112" i="2"/>
  <c r="DZ112" i="2"/>
  <c r="DP112" i="2"/>
  <c r="CW112" i="2"/>
  <c r="DI112" i="2"/>
  <c r="DK112" i="2"/>
  <c r="DC112" i="2"/>
  <c r="DE112" i="2"/>
  <c r="CL112" i="2"/>
  <c r="CK112" i="2"/>
  <c r="DB112" i="2"/>
  <c r="CZ112" i="2"/>
  <c r="CV112" i="2"/>
  <c r="DA112" i="2"/>
  <c r="DX112" i="2"/>
  <c r="DN112" i="2"/>
  <c r="CX112" i="2"/>
  <c r="DF112" i="2"/>
  <c r="CS112" i="2"/>
  <c r="EB112" i="2"/>
  <c r="DO112" i="2"/>
  <c r="EC112" i="2"/>
  <c r="DJ112" i="2"/>
  <c r="DH112" i="2"/>
  <c r="CR112" i="2"/>
  <c r="EF112" i="2"/>
  <c r="DM112" i="2"/>
  <c r="DT112" i="2"/>
  <c r="DG112" i="2"/>
  <c r="CI112" i="2"/>
  <c r="CJ112" i="2"/>
  <c r="DW112" i="2"/>
  <c r="CP112" i="2"/>
  <c r="EE112" i="2"/>
  <c r="CO112" i="2"/>
  <c r="CT112" i="2"/>
  <c r="DV112" i="2"/>
  <c r="DD112" i="2"/>
  <c r="CQ112" i="2"/>
  <c r="CM112" i="2"/>
  <c r="DQ112" i="2"/>
  <c r="EA112" i="2"/>
  <c r="ED112" i="2"/>
  <c r="DL112" i="2"/>
  <c r="CN112" i="2"/>
  <c r="DY112" i="2"/>
  <c r="CU112" i="2"/>
  <c r="CH112" i="2"/>
  <c r="CY112" i="2"/>
  <c r="DR112" i="2"/>
  <c r="ED164" i="2"/>
  <c r="EE164" i="2"/>
  <c r="DT164" i="2"/>
  <c r="DA164" i="2"/>
  <c r="DM164" i="2"/>
  <c r="DV164" i="2"/>
  <c r="DD164" i="2"/>
  <c r="DP164" i="2"/>
  <c r="EB164" i="2"/>
  <c r="DN164" i="2"/>
  <c r="DI164" i="2"/>
  <c r="DU164" i="2"/>
  <c r="DK164" i="2"/>
  <c r="EF164" i="2"/>
  <c r="DH164" i="2"/>
  <c r="DC164" i="2"/>
  <c r="DZ164" i="2"/>
  <c r="DB164" i="2"/>
  <c r="DG164" i="2"/>
  <c r="DX164" i="2"/>
  <c r="DS164" i="2"/>
  <c r="DL164" i="2"/>
  <c r="DO164" i="2"/>
  <c r="DE164" i="2"/>
  <c r="DQ164" i="2"/>
  <c r="DY164" i="2"/>
  <c r="EC164" i="2"/>
  <c r="EA164" i="2"/>
  <c r="DW164" i="2"/>
  <c r="DJ164" i="2"/>
  <c r="DF164" i="2"/>
  <c r="DR164" i="2"/>
  <c r="CH98" i="2"/>
  <c r="DY167" i="2"/>
  <c r="DT167" i="2"/>
  <c r="DJ167" i="2"/>
  <c r="DB167" i="2"/>
  <c r="DX167" i="2"/>
  <c r="DK167" i="2"/>
  <c r="DF167" i="2"/>
  <c r="DD167" i="2"/>
  <c r="DA167" i="2"/>
  <c r="DL167" i="2"/>
  <c r="EB167" i="2"/>
  <c r="EF167" i="2"/>
  <c r="DC167" i="2"/>
  <c r="CX167" i="2"/>
  <c r="DV167" i="2"/>
  <c r="DS167" i="2"/>
  <c r="DP167" i="2"/>
  <c r="CY167" i="2"/>
  <c r="DR167" i="2"/>
  <c r="DO167" i="2"/>
  <c r="CZ167" i="2"/>
  <c r="DM167" i="2"/>
  <c r="EA167" i="2"/>
  <c r="DN167" i="2"/>
  <c r="DZ167" i="2"/>
  <c r="DH167" i="2"/>
  <c r="DU167" i="2"/>
  <c r="DW167" i="2"/>
  <c r="ED167" i="2"/>
  <c r="EE167" i="2"/>
  <c r="EC167" i="2"/>
  <c r="CW167" i="2"/>
  <c r="DG167" i="2"/>
  <c r="DE167" i="2"/>
  <c r="DQ167" i="2"/>
  <c r="CV167" i="2"/>
  <c r="DI167" i="2"/>
  <c r="DI182" i="2"/>
  <c r="DG182" i="2"/>
  <c r="DK182" i="2"/>
  <c r="DY182" i="2"/>
  <c r="DF182" i="2"/>
  <c r="DV182" i="2"/>
  <c r="DV184" i="2" s="1"/>
  <c r="DB182" i="2"/>
  <c r="DD182" i="2"/>
  <c r="DX182" i="2"/>
  <c r="DJ182" i="2"/>
  <c r="DQ182" i="2"/>
  <c r="EB182" i="2"/>
  <c r="EB184" i="2" s="1"/>
  <c r="DN182" i="2"/>
  <c r="DT182" i="2"/>
  <c r="DT184" i="2" s="1"/>
  <c r="EF182" i="2"/>
  <c r="EF184" i="2" s="1"/>
  <c r="EA182" i="2"/>
  <c r="EA184" i="2" s="1"/>
  <c r="DP182" i="2"/>
  <c r="DW182" i="2"/>
  <c r="DW184" i="2" s="1"/>
  <c r="ED182" i="2"/>
  <c r="ED184" i="2" s="1"/>
  <c r="DZ182" i="2"/>
  <c r="DH182" i="2"/>
  <c r="DA182" i="2"/>
  <c r="EE182" i="2"/>
  <c r="EE184" i="2" s="1"/>
  <c r="DM182" i="2"/>
  <c r="DR182" i="2"/>
  <c r="DO182" i="2"/>
  <c r="DS182" i="2"/>
  <c r="DE182" i="2"/>
  <c r="DL182" i="2"/>
  <c r="EC182" i="2"/>
  <c r="EC184" i="2" s="1"/>
  <c r="DC182" i="2"/>
  <c r="DU182" i="2"/>
  <c r="DU184" i="2" s="1"/>
  <c r="DO189" i="2"/>
  <c r="ED189" i="2"/>
  <c r="DG189" i="2"/>
  <c r="DJ189" i="2"/>
  <c r="DU189" i="2"/>
  <c r="DS189" i="2"/>
  <c r="DH189" i="2"/>
  <c r="DK189" i="2"/>
  <c r="DT189" i="2"/>
  <c r="DI189" i="2"/>
  <c r="DD189" i="2"/>
  <c r="DQ189" i="2"/>
  <c r="EA189" i="2"/>
  <c r="DP189" i="2"/>
  <c r="DF189" i="2"/>
  <c r="DZ189" i="2"/>
  <c r="DL189" i="2"/>
  <c r="DR189" i="2"/>
  <c r="EE189" i="2"/>
  <c r="DM189" i="2"/>
  <c r="DE189" i="2"/>
  <c r="DN189" i="2"/>
  <c r="DX189" i="2"/>
  <c r="DV189" i="2"/>
  <c r="DC189" i="2"/>
  <c r="DB189" i="2"/>
  <c r="EC189" i="2"/>
  <c r="EF189" i="2"/>
  <c r="EB189" i="2"/>
  <c r="DY189" i="2"/>
  <c r="DA189" i="2"/>
  <c r="DW189" i="2"/>
  <c r="CP205" i="2"/>
  <c r="CJ205" i="2"/>
  <c r="CH205" i="2"/>
  <c r="CN205" i="2"/>
  <c r="CQ205" i="2"/>
  <c r="CR205" i="2"/>
  <c r="CO205" i="2"/>
  <c r="CI205" i="2"/>
  <c r="CL205" i="2"/>
  <c r="CK205" i="2"/>
  <c r="CM205" i="2"/>
  <c r="DW94" i="2"/>
  <c r="DM94" i="2"/>
  <c r="DJ94" i="2"/>
  <c r="DE94" i="2"/>
  <c r="EB94" i="2"/>
  <c r="DF94" i="2"/>
  <c r="EF94" i="2"/>
  <c r="DZ94" i="2"/>
  <c r="DU94" i="2"/>
  <c r="DI94" i="2"/>
  <c r="DQ94" i="2"/>
  <c r="DG94" i="2"/>
  <c r="DK94" i="2"/>
  <c r="DD94" i="2"/>
  <c r="DB94" i="2"/>
  <c r="DY94" i="2"/>
  <c r="EC94" i="2"/>
  <c r="ED94" i="2"/>
  <c r="DS94" i="2"/>
  <c r="DL94" i="2"/>
  <c r="DH94" i="2"/>
  <c r="DP94" i="2"/>
  <c r="DX94" i="2"/>
  <c r="DN94" i="2"/>
  <c r="EE94" i="2"/>
  <c r="DO94" i="2"/>
  <c r="DV94" i="2"/>
  <c r="DT94" i="2"/>
  <c r="DC94" i="2"/>
  <c r="EA94" i="2"/>
  <c r="DR94" i="2"/>
  <c r="DV102" i="2"/>
  <c r="DL102" i="2"/>
  <c r="DI102" i="2"/>
  <c r="EC102" i="2"/>
  <c r="DY102" i="2"/>
  <c r="DT102" i="2"/>
  <c r="DG102" i="2"/>
  <c r="DB102" i="2"/>
  <c r="CZ102" i="2"/>
  <c r="DN102" i="2"/>
  <c r="DX102" i="2"/>
  <c r="DK102" i="2"/>
  <c r="DF102" i="2"/>
  <c r="DD102" i="2"/>
  <c r="CY102" i="2"/>
  <c r="EB102" i="2"/>
  <c r="DZ102" i="2"/>
  <c r="EF102" i="2"/>
  <c r="DJ102" i="2"/>
  <c r="CX102" i="2"/>
  <c r="DH102" i="2"/>
  <c r="DS102" i="2"/>
  <c r="DA102" i="2"/>
  <c r="DQ102" i="2"/>
  <c r="DE102" i="2"/>
  <c r="DR102" i="2"/>
  <c r="DM102" i="2"/>
  <c r="EA102" i="2"/>
  <c r="DP102" i="2"/>
  <c r="DC102" i="2"/>
  <c r="EE102" i="2"/>
  <c r="ED102" i="2"/>
  <c r="DW102" i="2"/>
  <c r="DU102" i="2"/>
  <c r="DO102" i="2"/>
  <c r="DU193" i="2"/>
  <c r="EE193" i="2"/>
  <c r="DY193" i="2"/>
  <c r="DX193" i="2"/>
  <c r="DC193" i="2"/>
  <c r="EC193" i="2"/>
  <c r="DO193" i="2"/>
  <c r="DI193" i="2"/>
  <c r="EF193" i="2"/>
  <c r="EA193" i="2"/>
  <c r="EB193" i="2"/>
  <c r="DZ193" i="2"/>
  <c r="DG193" i="2"/>
  <c r="DH193" i="2"/>
  <c r="DA193" i="2"/>
  <c r="DQ193" i="2"/>
  <c r="DE193" i="2"/>
  <c r="DS193" i="2"/>
  <c r="DF193" i="2"/>
  <c r="ED193" i="2"/>
  <c r="DP193" i="2"/>
  <c r="DT193" i="2"/>
  <c r="DN193" i="2"/>
  <c r="DM193" i="2"/>
  <c r="DD193" i="2"/>
  <c r="DV193" i="2"/>
  <c r="DR193" i="2"/>
  <c r="DK193" i="2"/>
  <c r="DJ193" i="2"/>
  <c r="DW193" i="2"/>
  <c r="DL193" i="2"/>
  <c r="DB193" i="2"/>
  <c r="DM95" i="2"/>
  <c r="ED95" i="2"/>
  <c r="DY95" i="2"/>
  <c r="DG95" i="2"/>
  <c r="DT95" i="2"/>
  <c r="EC95" i="2"/>
  <c r="DU95" i="2"/>
  <c r="EB95" i="2"/>
  <c r="DO95" i="2"/>
  <c r="DH95" i="2"/>
  <c r="EF95" i="2"/>
  <c r="DB95" i="2"/>
  <c r="DX95" i="2"/>
  <c r="DS95" i="2"/>
  <c r="EE95" i="2"/>
  <c r="DL95" i="2"/>
  <c r="DW95" i="2"/>
  <c r="DE95" i="2"/>
  <c r="DC95" i="2"/>
  <c r="EA95" i="2"/>
  <c r="DD95" i="2"/>
  <c r="DP95" i="2"/>
  <c r="DI95" i="2"/>
  <c r="DV95" i="2"/>
  <c r="DK95" i="2"/>
  <c r="DR95" i="2"/>
  <c r="DJ95" i="2"/>
  <c r="DN95" i="2"/>
  <c r="DZ95" i="2"/>
  <c r="DF95" i="2"/>
  <c r="DQ95" i="2"/>
  <c r="DA93" i="2"/>
  <c r="CL93" i="2"/>
  <c r="CK93" i="2"/>
  <c r="CZ93" i="2"/>
  <c r="CH93" i="2"/>
  <c r="CW93" i="2"/>
  <c r="CJ93" i="2"/>
  <c r="CV93" i="2"/>
  <c r="CS93" i="2"/>
  <c r="CR93" i="2"/>
  <c r="CI93" i="2"/>
  <c r="CP93" i="2"/>
  <c r="CX93" i="2"/>
  <c r="CO93" i="2"/>
  <c r="CU93" i="2"/>
  <c r="CQ93" i="2"/>
  <c r="CM93" i="2"/>
  <c r="CT93" i="2"/>
  <c r="CN93" i="2"/>
  <c r="CY93" i="2"/>
  <c r="DV103" i="2"/>
  <c r="DL103" i="2"/>
  <c r="CV103" i="2"/>
  <c r="EA103" i="2"/>
  <c r="DQ103" i="2"/>
  <c r="DI103" i="2"/>
  <c r="DB103" i="2"/>
  <c r="DM103" i="2"/>
  <c r="EC103" i="2"/>
  <c r="DC103" i="2"/>
  <c r="DW103" i="2"/>
  <c r="CW103" i="2"/>
  <c r="CZ103" i="2"/>
  <c r="DZ103" i="2"/>
  <c r="CK103" i="2"/>
  <c r="CN103" i="2"/>
  <c r="CL103" i="2"/>
  <c r="CJ103" i="2"/>
  <c r="DY103" i="2"/>
  <c r="DU103" i="2"/>
  <c r="CM103" i="2"/>
  <c r="CQ103" i="2"/>
  <c r="CS103" i="2"/>
  <c r="CI103" i="2"/>
  <c r="CP103" i="2"/>
  <c r="CO103" i="2"/>
  <c r="ED103" i="2"/>
  <c r="DP103" i="2"/>
  <c r="CT103" i="2"/>
  <c r="DR103" i="2"/>
  <c r="DH103" i="2"/>
  <c r="DK103" i="2"/>
  <c r="CY103" i="2"/>
  <c r="DD103" i="2"/>
  <c r="DO103" i="2"/>
  <c r="CX103" i="2"/>
  <c r="CR103" i="2"/>
  <c r="DN103" i="2"/>
  <c r="DE103" i="2"/>
  <c r="DJ103" i="2"/>
  <c r="EF103" i="2"/>
  <c r="DA103" i="2"/>
  <c r="DF103" i="2"/>
  <c r="DX103" i="2"/>
  <c r="DT103" i="2"/>
  <c r="CU103" i="2"/>
  <c r="DS103" i="2"/>
  <c r="DG103" i="2"/>
  <c r="EE103" i="2"/>
  <c r="EB103" i="2"/>
  <c r="DL99" i="2"/>
  <c r="DQ99" i="2"/>
  <c r="CR99" i="2"/>
  <c r="CY99" i="2"/>
  <c r="ED99" i="2"/>
  <c r="EE99" i="2"/>
  <c r="DT99" i="2"/>
  <c r="DJ99" i="2"/>
  <c r="DA99" i="2"/>
  <c r="DD99" i="2"/>
  <c r="DM99" i="2"/>
  <c r="CZ99" i="2"/>
  <c r="DP99" i="2"/>
  <c r="EB99" i="2"/>
  <c r="DI99" i="2"/>
  <c r="CT99" i="2"/>
  <c r="DG99" i="2"/>
  <c r="DU99" i="2"/>
  <c r="EF99" i="2"/>
  <c r="DR99" i="2"/>
  <c r="DH99" i="2"/>
  <c r="DC99" i="2"/>
  <c r="CU99" i="2"/>
  <c r="DZ99" i="2"/>
  <c r="CW99" i="2"/>
  <c r="CV99" i="2"/>
  <c r="CQ99" i="2"/>
  <c r="EA99" i="2"/>
  <c r="DX99" i="2"/>
  <c r="DY99" i="2"/>
  <c r="DN99" i="2"/>
  <c r="DB99" i="2"/>
  <c r="DS99" i="2"/>
  <c r="DO99" i="2"/>
  <c r="DE99" i="2"/>
  <c r="EC99" i="2"/>
  <c r="DK99" i="2"/>
  <c r="CM99" i="2"/>
  <c r="CP99" i="2"/>
  <c r="CN99" i="2"/>
  <c r="DF99" i="2"/>
  <c r="CS99" i="2"/>
  <c r="DW99" i="2"/>
  <c r="DV99" i="2"/>
  <c r="CX99" i="2"/>
  <c r="CO99" i="2"/>
  <c r="DN105" i="2"/>
  <c r="DW105" i="2"/>
  <c r="DR105" i="2"/>
  <c r="DA105" i="2"/>
  <c r="DE105" i="2"/>
  <c r="EE105" i="2"/>
  <c r="DQ105" i="2"/>
  <c r="DJ105" i="2"/>
  <c r="DV105" i="2"/>
  <c r="DL105" i="2"/>
  <c r="DI105" i="2"/>
  <c r="DK105" i="2"/>
  <c r="DD105" i="2"/>
  <c r="ED105" i="2"/>
  <c r="EA105" i="2"/>
  <c r="CX105" i="2"/>
  <c r="DY105" i="2"/>
  <c r="DT105" i="2"/>
  <c r="DP105" i="2"/>
  <c r="DF105" i="2"/>
  <c r="DZ105" i="2"/>
  <c r="DO105" i="2"/>
  <c r="CY105" i="2"/>
  <c r="EB105" i="2"/>
  <c r="DH105" i="2"/>
  <c r="DX105" i="2"/>
  <c r="EF105" i="2"/>
  <c r="DG105" i="2"/>
  <c r="CZ105" i="2"/>
  <c r="DM105" i="2"/>
  <c r="EC105" i="2"/>
  <c r="DC105" i="2"/>
  <c r="DB105" i="2"/>
  <c r="DU105" i="2"/>
  <c r="DS105" i="2"/>
  <c r="ED100" i="2"/>
  <c r="DU100" i="2"/>
  <c r="DC100" i="2"/>
  <c r="DA100" i="2"/>
  <c r="CY100" i="2"/>
  <c r="DF100" i="2"/>
  <c r="EC100" i="2"/>
  <c r="DY100" i="2"/>
  <c r="DG100" i="2"/>
  <c r="CX100" i="2"/>
  <c r="DP100" i="2"/>
  <c r="DI100" i="2"/>
  <c r="CV100" i="2"/>
  <c r="CS100" i="2"/>
  <c r="CW100" i="2"/>
  <c r="DB100" i="2"/>
  <c r="DO100" i="2"/>
  <c r="DH100" i="2"/>
  <c r="DX100" i="2"/>
  <c r="CQ100" i="2"/>
  <c r="CP100" i="2"/>
  <c r="DW100" i="2"/>
  <c r="DE100" i="2"/>
  <c r="DL100" i="2"/>
  <c r="CR100" i="2"/>
  <c r="CN100" i="2"/>
  <c r="DR100" i="2"/>
  <c r="DN100" i="2"/>
  <c r="CZ100" i="2"/>
  <c r="CT100" i="2"/>
  <c r="DS100" i="2"/>
  <c r="DV100" i="2"/>
  <c r="EB100" i="2"/>
  <c r="CO100" i="2"/>
  <c r="DZ100" i="2"/>
  <c r="DT100" i="2"/>
  <c r="EF100" i="2"/>
  <c r="EE100" i="2"/>
  <c r="DM100" i="2"/>
  <c r="DQ100" i="2"/>
  <c r="DK100" i="2"/>
  <c r="DJ100" i="2"/>
  <c r="EA100" i="2"/>
  <c r="DD100" i="2"/>
  <c r="CU100" i="2"/>
  <c r="DD86" i="2"/>
  <c r="DM86" i="2"/>
  <c r="DP86" i="2"/>
  <c r="DC86" i="2"/>
  <c r="DT86" i="2"/>
  <c r="DQ86" i="2"/>
  <c r="DB86" i="2"/>
  <c r="DA86" i="2"/>
  <c r="DI86" i="2"/>
  <c r="EA86" i="2"/>
  <c r="DF86" i="2"/>
  <c r="DY86" i="2"/>
  <c r="DZ86" i="2"/>
  <c r="DG86" i="2"/>
  <c r="DR86" i="2"/>
  <c r="EE86" i="2"/>
  <c r="DH86" i="2"/>
  <c r="DV86" i="2"/>
  <c r="CZ86" i="2"/>
  <c r="DK86" i="2"/>
  <c r="DO86" i="2"/>
  <c r="EB86" i="2"/>
  <c r="DS86" i="2"/>
  <c r="DE86" i="2"/>
  <c r="DL86" i="2"/>
  <c r="DN86" i="2"/>
  <c r="EC86" i="2"/>
  <c r="DW86" i="2"/>
  <c r="DU86" i="2"/>
  <c r="CY86" i="2"/>
  <c r="DJ86" i="2"/>
  <c r="DX86" i="2"/>
  <c r="ED86" i="2"/>
  <c r="CX86" i="2"/>
  <c r="DD87" i="2"/>
  <c r="EA87" i="2"/>
  <c r="CZ87" i="2"/>
  <c r="DM87" i="2"/>
  <c r="CY87" i="2"/>
  <c r="DT87" i="2"/>
  <c r="DW87" i="2"/>
  <c r="DV87" i="2"/>
  <c r="DB87" i="2"/>
  <c r="DX87" i="2"/>
  <c r="DA87" i="2"/>
  <c r="DU87" i="2"/>
  <c r="EC87" i="2"/>
  <c r="DQ87" i="2"/>
  <c r="DY87" i="2"/>
  <c r="DE87" i="2"/>
  <c r="EF87" i="2"/>
  <c r="ED87" i="2"/>
  <c r="DC87" i="2"/>
  <c r="EE87" i="2"/>
  <c r="DR87" i="2"/>
  <c r="DN87" i="2"/>
  <c r="DK87" i="2"/>
  <c r="DZ87" i="2"/>
  <c r="DP87" i="2"/>
  <c r="DO87" i="2"/>
  <c r="DJ87" i="2"/>
  <c r="DI87" i="2"/>
  <c r="DL87" i="2"/>
  <c r="DH87" i="2"/>
  <c r="DS87" i="2"/>
  <c r="DF87" i="2"/>
  <c r="CX87" i="2"/>
  <c r="DG87" i="2"/>
  <c r="EB87" i="2"/>
  <c r="CT9" i="2"/>
  <c r="CT41" i="2"/>
  <c r="CT58" i="2"/>
  <c r="CP18" i="2"/>
  <c r="CJ66" i="2"/>
  <c r="EI93" i="2" l="1"/>
  <c r="EJ93" i="2"/>
  <c r="EL93" i="2"/>
  <c r="EK93" i="2"/>
  <c r="CP9" i="2"/>
  <c r="EH198" i="2"/>
  <c r="EH147" i="2"/>
  <c r="EG198" i="2"/>
  <c r="EG147" i="2"/>
  <c r="EH88" i="2"/>
  <c r="EH91" i="2" s="1"/>
  <c r="EG88" i="2"/>
  <c r="EG91" i="2" s="1"/>
  <c r="EH93" i="2"/>
  <c r="EG93" i="2"/>
  <c r="EC147" i="2"/>
  <c r="ED88" i="2"/>
  <c r="ED91" i="2" s="1"/>
  <c r="EC198" i="2"/>
  <c r="ED147" i="2"/>
  <c r="EE88" i="2"/>
  <c r="EE91" i="2" s="1"/>
  <c r="EC88" i="2"/>
  <c r="EC91" i="2" s="1"/>
  <c r="EF147" i="2"/>
  <c r="EF88" i="2"/>
  <c r="EF91" i="2" s="1"/>
  <c r="EE198" i="2"/>
  <c r="ED198" i="2"/>
  <c r="EF198" i="2"/>
  <c r="EE147" i="2"/>
  <c r="EB88" i="2"/>
  <c r="EB91" i="2" s="1"/>
  <c r="EA198" i="2"/>
  <c r="EA88" i="2"/>
  <c r="EA91" i="2" s="1"/>
  <c r="DW88" i="2"/>
  <c r="DW91" i="2" s="1"/>
  <c r="EA147" i="2"/>
  <c r="EB198" i="2"/>
  <c r="EB147" i="2"/>
  <c r="DX184" i="2"/>
  <c r="DX88" i="2"/>
  <c r="DX91" i="2" s="1"/>
  <c r="DY184" i="2"/>
  <c r="DZ184" i="2"/>
  <c r="DY147" i="2"/>
  <c r="DZ147" i="2"/>
  <c r="DY198" i="2"/>
  <c r="DZ198" i="2"/>
  <c r="DY88" i="2"/>
  <c r="DZ88" i="2"/>
  <c r="DW198" i="2"/>
  <c r="DV147" i="2"/>
  <c r="DX147" i="2"/>
  <c r="DW147" i="2"/>
  <c r="DX198" i="2"/>
  <c r="DZ91" i="2" l="1"/>
  <c r="DY91" i="2"/>
  <c r="DU147" i="2"/>
  <c r="DU198" i="2"/>
  <c r="DV88" i="2"/>
  <c r="DV91" i="2" s="1"/>
  <c r="DV198" i="2"/>
  <c r="DU88" i="2"/>
  <c r="DU91" i="2" s="1"/>
  <c r="DT88" i="2" l="1"/>
  <c r="DT91" i="2" s="1"/>
  <c r="DT147" i="2"/>
  <c r="DT198" i="2"/>
  <c r="DI184" i="2"/>
  <c r="DR184" i="2"/>
  <c r="DH184" i="2"/>
  <c r="DJ184" i="2"/>
  <c r="DL184" i="2"/>
  <c r="DE184" i="2"/>
  <c r="DQ184" i="2"/>
  <c r="DP184" i="2"/>
  <c r="DN184" i="2"/>
  <c r="DS184" i="2"/>
  <c r="DF184" i="2"/>
  <c r="DM184" i="2"/>
  <c r="DK184" i="2"/>
  <c r="DB184" i="2"/>
  <c r="AI198" i="2"/>
  <c r="CY147" i="2"/>
  <c r="CX147" i="2"/>
  <c r="CV147" i="2"/>
  <c r="CZ147" i="2"/>
  <c r="CT36" i="2"/>
  <c r="CI57" i="2"/>
  <c r="CI78" i="2" s="1"/>
  <c r="CI81" i="2" s="1"/>
  <c r="CP36" i="2"/>
  <c r="CP81" i="2" s="1"/>
  <c r="CT40" i="2"/>
  <c r="CQ40" i="2"/>
  <c r="CQ78" i="2" s="1"/>
  <c r="CQ81" i="2" s="1"/>
  <c r="CH57" i="2"/>
  <c r="CH78" i="2" s="1"/>
  <c r="CH81" i="2" s="1"/>
  <c r="CJ57" i="2"/>
  <c r="CJ78" i="2" s="1"/>
  <c r="CJ81" i="2" s="1"/>
  <c r="CL57" i="2"/>
  <c r="CL78" i="2" s="1"/>
  <c r="CL81" i="2" s="1"/>
  <c r="CT70" i="2"/>
  <c r="CU70" i="2"/>
  <c r="CU78" i="2" s="1"/>
  <c r="CU81" i="2" s="1"/>
  <c r="AI147" i="2"/>
  <c r="AI184" i="2"/>
  <c r="DC184" i="2"/>
  <c r="DD184" i="2"/>
  <c r="DO184" i="2"/>
  <c r="DG184" i="2"/>
  <c r="DA184" i="2"/>
  <c r="X147" i="2"/>
  <c r="CW147" i="2"/>
  <c r="K57" i="2"/>
  <c r="K78" i="2" s="1"/>
  <c r="W70" i="2"/>
  <c r="G57" i="2"/>
  <c r="R40" i="2"/>
  <c r="P9" i="2"/>
  <c r="V57" i="2"/>
  <c r="H57" i="2"/>
  <c r="V70" i="2"/>
  <c r="F57" i="2"/>
  <c r="F78" i="2" s="1"/>
  <c r="T205" i="2"/>
  <c r="AM203" i="2"/>
  <c r="AO203" i="2"/>
  <c r="AF203" i="2"/>
  <c r="AN203" i="2"/>
  <c r="AN205" i="2" s="1"/>
  <c r="G98" i="2"/>
  <c r="AN91" i="2"/>
  <c r="V40" i="2"/>
  <c r="Q78" i="2"/>
  <c r="AO91" i="2"/>
  <c r="AM91" i="2"/>
  <c r="S91" i="2"/>
  <c r="AL91" i="2"/>
  <c r="AJ88" i="2"/>
  <c r="M78" i="2"/>
  <c r="M98" i="2"/>
  <c r="V9" i="2"/>
  <c r="V36" i="2" s="1"/>
  <c r="L98" i="2"/>
  <c r="Y203" i="2"/>
  <c r="L78" i="2"/>
  <c r="AH78" i="2"/>
  <c r="I78" i="2"/>
  <c r="AH91" i="2"/>
  <c r="K91" i="2"/>
  <c r="AA205" i="2"/>
  <c r="N98" i="2"/>
  <c r="X205" i="2"/>
  <c r="AJ203" i="2"/>
  <c r="AA78" i="2"/>
  <c r="AK203" i="2"/>
  <c r="AC205" i="2"/>
  <c r="U205" i="2"/>
  <c r="N91" i="2"/>
  <c r="V91" i="2"/>
  <c r="AD88" i="2"/>
  <c r="E91" i="2"/>
  <c r="I91" i="2"/>
  <c r="M91" i="2"/>
  <c r="Q91" i="2"/>
  <c r="U91" i="2"/>
  <c r="AP78" i="2"/>
  <c r="G91" i="2"/>
  <c r="O91" i="2"/>
  <c r="W91" i="2"/>
  <c r="AF91" i="2"/>
  <c r="F91" i="2"/>
  <c r="J91" i="2"/>
  <c r="R91" i="2"/>
  <c r="Z91" i="2"/>
  <c r="AP91" i="2"/>
  <c r="AI91" i="2"/>
  <c r="H91" i="2"/>
  <c r="L91" i="2"/>
  <c r="P91" i="2"/>
  <c r="T91" i="2"/>
  <c r="X91" i="2"/>
  <c r="AB91" i="2"/>
  <c r="AG91" i="2"/>
  <c r="AD98" i="2"/>
  <c r="AD104" i="2"/>
  <c r="AJ36" i="2"/>
  <c r="Z78" i="2"/>
  <c r="AD78" i="2"/>
  <c r="W36" i="2"/>
  <c r="AA36" i="2"/>
  <c r="AE36" i="2"/>
  <c r="AM36" i="2"/>
  <c r="AP36" i="2"/>
  <c r="AL36" i="2"/>
  <c r="AI78" i="2"/>
  <c r="AD36" i="2"/>
  <c r="AL78" i="2"/>
  <c r="F36" i="2"/>
  <c r="W205" i="2"/>
  <c r="AB203" i="2"/>
  <c r="Z205" i="2"/>
  <c r="AC96" i="2"/>
  <c r="AK36" i="2"/>
  <c r="AO36" i="2"/>
  <c r="AE78" i="2"/>
  <c r="AE96" i="2"/>
  <c r="AE205" i="2"/>
  <c r="AQ203" i="2"/>
  <c r="AQ205" i="2" s="1"/>
  <c r="AN7" i="3"/>
  <c r="AR7" i="3"/>
  <c r="AQ8" i="3"/>
  <c r="AP9" i="3"/>
  <c r="AO10" i="3"/>
  <c r="AN11" i="3"/>
  <c r="AR11" i="3"/>
  <c r="AP7" i="3"/>
  <c r="AO8" i="3"/>
  <c r="AN9" i="3"/>
  <c r="AR9" i="3"/>
  <c r="AQ10" i="3"/>
  <c r="AP11" i="3"/>
  <c r="AO7" i="3"/>
  <c r="AN8" i="3"/>
  <c r="AR8" i="3"/>
  <c r="AQ9" i="3"/>
  <c r="AP10" i="3"/>
  <c r="AO11" i="3"/>
  <c r="AQ7" i="3"/>
  <c r="AP8" i="3"/>
  <c r="AO9" i="3"/>
  <c r="AN10" i="3"/>
  <c r="AR10" i="3"/>
  <c r="AQ11" i="3"/>
  <c r="AV36" i="2"/>
  <c r="AM78" i="2"/>
  <c r="Y36" i="2"/>
  <c r="AG36" i="2"/>
  <c r="AI36" i="2"/>
  <c r="AK91" i="2"/>
  <c r="O78" i="2"/>
  <c r="E78" i="2"/>
  <c r="AK78" i="2"/>
  <c r="AN36" i="2"/>
  <c r="AJ78" i="2"/>
  <c r="R36" i="2"/>
  <c r="AH36" i="2"/>
  <c r="S36" i="2"/>
  <c r="AD203" i="2"/>
  <c r="AD205" i="2" s="1"/>
  <c r="AH205" i="2"/>
  <c r="AI203" i="2"/>
  <c r="AL203" i="2"/>
  <c r="AL205" i="2" s="1"/>
  <c r="AC36" i="2"/>
  <c r="N36" i="2"/>
  <c r="J36" i="2"/>
  <c r="Z36" i="2"/>
  <c r="P78" i="2"/>
  <c r="K36" i="2"/>
  <c r="O36" i="2"/>
  <c r="H36" i="2"/>
  <c r="L36" i="2"/>
  <c r="X36" i="2"/>
  <c r="AB36" i="2"/>
  <c r="AF36" i="2"/>
  <c r="T78" i="2"/>
  <c r="AN78" i="2"/>
  <c r="M36" i="2"/>
  <c r="T36" i="2"/>
  <c r="Y78" i="2"/>
  <c r="AG78" i="2"/>
  <c r="AC78" i="2"/>
  <c r="G36" i="2"/>
  <c r="I36" i="2"/>
  <c r="Q36" i="2"/>
  <c r="U36" i="2"/>
  <c r="AG203" i="2"/>
  <c r="E36" i="2"/>
  <c r="U78" i="2"/>
  <c r="AP205" i="2"/>
  <c r="N78" i="2"/>
  <c r="AO78" i="2"/>
  <c r="AV78" i="2"/>
  <c r="AF78" i="2"/>
  <c r="J78" i="2"/>
  <c r="S78" i="2"/>
  <c r="X78" i="2"/>
  <c r="AB78" i="2"/>
  <c r="Y96" i="2"/>
  <c r="AA96" i="2"/>
  <c r="AV91" i="2"/>
  <c r="AQ91" i="2"/>
  <c r="AK11" i="3"/>
  <c r="AL8" i="3"/>
  <c r="AJ11" i="3"/>
  <c r="AM9" i="3"/>
  <c r="AM7" i="3"/>
  <c r="AL9" i="3"/>
  <c r="AL11" i="3"/>
  <c r="AK10" i="3"/>
  <c r="AM10" i="3"/>
  <c r="AJ10" i="3"/>
  <c r="AK9" i="3"/>
  <c r="AJ7" i="3"/>
  <c r="AJ9" i="3"/>
  <c r="AK8" i="3"/>
  <c r="AJ8" i="3"/>
  <c r="AL10" i="3"/>
  <c r="AL7" i="3"/>
  <c r="AM8" i="3"/>
  <c r="AK7" i="3"/>
  <c r="AQ78" i="2"/>
  <c r="AQ36" i="2"/>
  <c r="CZ203" i="2"/>
  <c r="DC203" i="2"/>
  <c r="DG203" i="2"/>
  <c r="DA203" i="2"/>
  <c r="DF203" i="2"/>
  <c r="DB203" i="2"/>
  <c r="DE203" i="2"/>
  <c r="DH203" i="2"/>
  <c r="DD203" i="2"/>
  <c r="EG9" i="3" l="1"/>
  <c r="EH9" i="3"/>
  <c r="EI9" i="3"/>
  <c r="EI8" i="3"/>
  <c r="EH8" i="3"/>
  <c r="EG8" i="3"/>
  <c r="EH7" i="3"/>
  <c r="EI7" i="3"/>
  <c r="EG7" i="3"/>
  <c r="EH10" i="3"/>
  <c r="EI10" i="3"/>
  <c r="EG10" i="3"/>
  <c r="EI104" i="2"/>
  <c r="EK104" i="2"/>
  <c r="EJ104" i="2"/>
  <c r="EL104" i="2"/>
  <c r="DT8" i="3"/>
  <c r="DS8" i="3"/>
  <c r="DN8" i="3"/>
  <c r="DM8" i="3"/>
  <c r="DO8" i="3"/>
  <c r="DR8" i="3"/>
  <c r="DQ8" i="3"/>
  <c r="DP8" i="3"/>
  <c r="DW8" i="3"/>
  <c r="DL8" i="3"/>
  <c r="DC8" i="3"/>
  <c r="DX8" i="3"/>
  <c r="DK8" i="3"/>
  <c r="ED8" i="3"/>
  <c r="DF8" i="3"/>
  <c r="DJ8" i="3"/>
  <c r="DZ8" i="3"/>
  <c r="EE8" i="3"/>
  <c r="DI8" i="3"/>
  <c r="DH8" i="3"/>
  <c r="EB8" i="3"/>
  <c r="EC8" i="3"/>
  <c r="DG8" i="3"/>
  <c r="EF8" i="3"/>
  <c r="DY8" i="3"/>
  <c r="EA8" i="3"/>
  <c r="DE8" i="3"/>
  <c r="DD8" i="3"/>
  <c r="DB8" i="3"/>
  <c r="DV8" i="3"/>
  <c r="DU8" i="3"/>
  <c r="DK9" i="3"/>
  <c r="DH9" i="3"/>
  <c r="DJ9" i="3"/>
  <c r="DI9" i="3"/>
  <c r="DG9" i="3"/>
  <c r="DZ9" i="3"/>
  <c r="DO9" i="3"/>
  <c r="EE9" i="3"/>
  <c r="DD9" i="3"/>
  <c r="DM9" i="3"/>
  <c r="ED9" i="3"/>
  <c r="EC9" i="3"/>
  <c r="EB9" i="3"/>
  <c r="DF9" i="3"/>
  <c r="EA9" i="3"/>
  <c r="DE9" i="3"/>
  <c r="DY9" i="3"/>
  <c r="DC9" i="3"/>
  <c r="DL9" i="3"/>
  <c r="DX9" i="3"/>
  <c r="DB9" i="3"/>
  <c r="DU9" i="3"/>
  <c r="DW9" i="3"/>
  <c r="EF9" i="3"/>
  <c r="DV9" i="3"/>
  <c r="DP9" i="3"/>
  <c r="DT9" i="3"/>
  <c r="DS9" i="3"/>
  <c r="DR9" i="3"/>
  <c r="DQ9" i="3"/>
  <c r="DN9" i="3"/>
  <c r="DX10" i="3"/>
  <c r="DB10" i="3"/>
  <c r="DV10" i="3"/>
  <c r="DU10" i="3"/>
  <c r="DQ10" i="3"/>
  <c r="EB10" i="3"/>
  <c r="EA10" i="3"/>
  <c r="DW10" i="3"/>
  <c r="DT10" i="3"/>
  <c r="DS10" i="3"/>
  <c r="DR10" i="3"/>
  <c r="DE10" i="3"/>
  <c r="DD10" i="3"/>
  <c r="DC10" i="3"/>
  <c r="DP10" i="3"/>
  <c r="DF10" i="3"/>
  <c r="DO10" i="3"/>
  <c r="DN10" i="3"/>
  <c r="DL10" i="3"/>
  <c r="DJ10" i="3"/>
  <c r="DJ12" i="3" s="1"/>
  <c r="DG10" i="3"/>
  <c r="DM10" i="3"/>
  <c r="EF10" i="3"/>
  <c r="DK10" i="3"/>
  <c r="EE10" i="3"/>
  <c r="DI10" i="3"/>
  <c r="ED10" i="3"/>
  <c r="DH10" i="3"/>
  <c r="DH12" i="3" s="1"/>
  <c r="EC10" i="3"/>
  <c r="DY10" i="3"/>
  <c r="DZ10" i="3"/>
  <c r="DZ12" i="3" s="1"/>
  <c r="EC7" i="3"/>
  <c r="DG7" i="3"/>
  <c r="EB7" i="3"/>
  <c r="DF7" i="3"/>
  <c r="DE7" i="3"/>
  <c r="DY7" i="3"/>
  <c r="DC7" i="3"/>
  <c r="DX7" i="3"/>
  <c r="DB7" i="3"/>
  <c r="DK7" i="3"/>
  <c r="EA7" i="3"/>
  <c r="DZ7" i="3"/>
  <c r="DD7" i="3"/>
  <c r="DW7" i="3"/>
  <c r="DH7" i="3"/>
  <c r="DV7" i="3"/>
  <c r="DU7" i="3"/>
  <c r="DS7" i="3"/>
  <c r="DT7" i="3"/>
  <c r="DJ7" i="3"/>
  <c r="DR7" i="3"/>
  <c r="DQ7" i="3"/>
  <c r="DO7" i="3"/>
  <c r="DP7" i="3"/>
  <c r="DM7" i="3"/>
  <c r="EE7" i="3"/>
  <c r="ED7" i="3"/>
  <c r="DN7" i="3"/>
  <c r="EF7" i="3"/>
  <c r="DL7" i="3"/>
  <c r="DI7" i="3"/>
  <c r="DC11" i="3"/>
  <c r="DB11" i="3"/>
  <c r="EG104" i="2"/>
  <c r="EH104" i="2"/>
  <c r="DV104" i="2"/>
  <c r="EE104" i="2"/>
  <c r="DX104" i="2"/>
  <c r="DL104" i="2"/>
  <c r="DT104" i="2"/>
  <c r="CZ104" i="2"/>
  <c r="EB104" i="2"/>
  <c r="DF104" i="2"/>
  <c r="DR104" i="2"/>
  <c r="DW104" i="2"/>
  <c r="ED104" i="2"/>
  <c r="EF104" i="2"/>
  <c r="DY104" i="2"/>
  <c r="DE104" i="2"/>
  <c r="DD104" i="2"/>
  <c r="DO104" i="2"/>
  <c r="DU104" i="2"/>
  <c r="DB104" i="2"/>
  <c r="DA104" i="2"/>
  <c r="DH104" i="2"/>
  <c r="DC104" i="2"/>
  <c r="CX104" i="2"/>
  <c r="DP104" i="2"/>
  <c r="DM104" i="2"/>
  <c r="EA104" i="2"/>
  <c r="EC104" i="2"/>
  <c r="DN104" i="2"/>
  <c r="DG104" i="2"/>
  <c r="DJ104" i="2"/>
  <c r="DI104" i="2"/>
  <c r="DQ104" i="2"/>
  <c r="DK104" i="2"/>
  <c r="DS104" i="2"/>
  <c r="CY104" i="2"/>
  <c r="DZ104" i="2"/>
  <c r="CN98" i="2"/>
  <c r="DJ98" i="2"/>
  <c r="CX98" i="2"/>
  <c r="DC98" i="2"/>
  <c r="CL98" i="2"/>
  <c r="DI98" i="2"/>
  <c r="CM98" i="2"/>
  <c r="CS98" i="2"/>
  <c r="DB98" i="2"/>
  <c r="CZ98" i="2"/>
  <c r="DF98" i="2"/>
  <c r="CO98" i="2"/>
  <c r="CY98" i="2"/>
  <c r="CU98" i="2"/>
  <c r="CT98" i="2"/>
  <c r="DD98" i="2"/>
  <c r="CK98" i="2"/>
  <c r="CJ98" i="2"/>
  <c r="DH98" i="2"/>
  <c r="CV98" i="2"/>
  <c r="CR98" i="2"/>
  <c r="CI98" i="2"/>
  <c r="DA98" i="2"/>
  <c r="DG98" i="2"/>
  <c r="CQ98" i="2"/>
  <c r="CW98" i="2"/>
  <c r="DE98" i="2"/>
  <c r="CP98" i="2"/>
  <c r="DP93" i="2"/>
  <c r="EA93" i="2"/>
  <c r="EB93" i="2"/>
  <c r="DF93" i="2"/>
  <c r="DI93" i="2"/>
  <c r="DO93" i="2"/>
  <c r="DZ93" i="2"/>
  <c r="DU93" i="2"/>
  <c r="EC93" i="2"/>
  <c r="DV93" i="2"/>
  <c r="EE93" i="2"/>
  <c r="DJ93" i="2"/>
  <c r="DD93" i="2"/>
  <c r="DH93" i="2"/>
  <c r="DM93" i="2"/>
  <c r="DS93" i="2"/>
  <c r="EF93" i="2"/>
  <c r="DQ93" i="2"/>
  <c r="DN93" i="2"/>
  <c r="DE93" i="2"/>
  <c r="DG93" i="2"/>
  <c r="DR93" i="2"/>
  <c r="DT93" i="2"/>
  <c r="DC93" i="2"/>
  <c r="DX93" i="2"/>
  <c r="ED93" i="2"/>
  <c r="DW93" i="2"/>
  <c r="DY93" i="2"/>
  <c r="DB93" i="2"/>
  <c r="DL93" i="2"/>
  <c r="DK93" i="2"/>
  <c r="CT205" i="2"/>
  <c r="CS205" i="2"/>
  <c r="CV205" i="2"/>
  <c r="CU205" i="2"/>
  <c r="CT57" i="2"/>
  <c r="CT78" i="2" s="1"/>
  <c r="CT81" i="2" s="1"/>
  <c r="DB198" i="2"/>
  <c r="DO198" i="2"/>
  <c r="DS147" i="2"/>
  <c r="DS198" i="2"/>
  <c r="DS88" i="2"/>
  <c r="DS91" i="2" s="1"/>
  <c r="DE198" i="2"/>
  <c r="DJ198" i="2"/>
  <c r="DR198" i="2"/>
  <c r="DI198" i="2"/>
  <c r="DD198" i="2"/>
  <c r="DL198" i="2"/>
  <c r="DK198" i="2"/>
  <c r="DM147" i="2"/>
  <c r="DO147" i="2"/>
  <c r="DF147" i="2"/>
  <c r="DN147" i="2"/>
  <c r="DQ147" i="2"/>
  <c r="DC147" i="2"/>
  <c r="DD147" i="2"/>
  <c r="DL147" i="2"/>
  <c r="DA147" i="2"/>
  <c r="CZ88" i="2"/>
  <c r="CZ91" i="2" s="1"/>
  <c r="DH88" i="2"/>
  <c r="DH91" i="2" s="1"/>
  <c r="DP88" i="2"/>
  <c r="DP91" i="2" s="1"/>
  <c r="DB88" i="2"/>
  <c r="DB91" i="2" s="1"/>
  <c r="DJ88" i="2"/>
  <c r="DJ91" i="2" s="1"/>
  <c r="DR88" i="2"/>
  <c r="DR91" i="2" s="1"/>
  <c r="DA88" i="2"/>
  <c r="DA91" i="2" s="1"/>
  <c r="DE88" i="2"/>
  <c r="DE91" i="2" s="1"/>
  <c r="DI88" i="2"/>
  <c r="DI91" i="2" s="1"/>
  <c r="DM88" i="2"/>
  <c r="DM91" i="2" s="1"/>
  <c r="DQ88" i="2"/>
  <c r="DG198" i="2"/>
  <c r="DM198" i="2"/>
  <c r="DF198" i="2"/>
  <c r="DN198" i="2"/>
  <c r="DC198" i="2"/>
  <c r="DA198" i="2"/>
  <c r="DQ198" i="2"/>
  <c r="DH198" i="2"/>
  <c r="DP198" i="2"/>
  <c r="DG147" i="2"/>
  <c r="DB147" i="2"/>
  <c r="DJ147" i="2"/>
  <c r="DR147" i="2"/>
  <c r="DE147" i="2"/>
  <c r="DK147" i="2"/>
  <c r="DH147" i="2"/>
  <c r="DP147" i="2"/>
  <c r="DI147" i="2"/>
  <c r="DD88" i="2"/>
  <c r="DD91" i="2" s="1"/>
  <c r="DL88" i="2"/>
  <c r="DL91" i="2" s="1"/>
  <c r="CX88" i="2"/>
  <c r="CX91" i="2" s="1"/>
  <c r="DF88" i="2"/>
  <c r="DF91" i="2" s="1"/>
  <c r="DN88" i="2"/>
  <c r="DN91" i="2" s="1"/>
  <c r="CY88" i="2"/>
  <c r="CY91" i="2" s="1"/>
  <c r="DC88" i="2"/>
  <c r="DC91" i="2" s="1"/>
  <c r="DG88" i="2"/>
  <c r="DG91" i="2" s="1"/>
  <c r="DK88" i="2"/>
  <c r="DK91" i="2" s="1"/>
  <c r="DO88" i="2"/>
  <c r="DO91" i="2" s="1"/>
  <c r="R78" i="2"/>
  <c r="R81" i="2" s="1"/>
  <c r="AM205" i="2"/>
  <c r="W78" i="2"/>
  <c r="W81" i="2" s="1"/>
  <c r="G78" i="2"/>
  <c r="G81" i="2" s="1"/>
  <c r="AO205" i="2"/>
  <c r="V78" i="2"/>
  <c r="V81" i="2" s="1"/>
  <c r="H78" i="2"/>
  <c r="H81" i="2" s="1"/>
  <c r="P36" i="2"/>
  <c r="AF205" i="2"/>
  <c r="P96" i="2"/>
  <c r="AG205" i="2"/>
  <c r="AN96" i="2"/>
  <c r="K96" i="2"/>
  <c r="S96" i="2"/>
  <c r="AH96" i="2"/>
  <c r="W96" i="2"/>
  <c r="O96" i="2"/>
  <c r="AJ81" i="2"/>
  <c r="T96" i="2"/>
  <c r="M96" i="2"/>
  <c r="Q81" i="2"/>
  <c r="X96" i="2"/>
  <c r="H96" i="2"/>
  <c r="AM96" i="2"/>
  <c r="Q96" i="2"/>
  <c r="F96" i="2"/>
  <c r="AA81" i="2"/>
  <c r="AI96" i="2"/>
  <c r="E96" i="2"/>
  <c r="AM81" i="2"/>
  <c r="AD81" i="2"/>
  <c r="AK205" i="2"/>
  <c r="I96" i="2"/>
  <c r="AL81" i="2"/>
  <c r="R96" i="2"/>
  <c r="L96" i="2"/>
  <c r="AP96" i="2"/>
  <c r="L81" i="2"/>
  <c r="AB96" i="2"/>
  <c r="Z81" i="2"/>
  <c r="AK81" i="2"/>
  <c r="I81" i="2"/>
  <c r="N96" i="2"/>
  <c r="M81" i="2"/>
  <c r="U96" i="2"/>
  <c r="AE81" i="2"/>
  <c r="AO96" i="2"/>
  <c r="AJ91" i="2"/>
  <c r="F81" i="2"/>
  <c r="AL96" i="2"/>
  <c r="G96" i="2"/>
  <c r="J96" i="2"/>
  <c r="AI81" i="2"/>
  <c r="AJ205" i="2"/>
  <c r="AH81" i="2"/>
  <c r="Y205" i="2"/>
  <c r="AF81" i="2"/>
  <c r="AG96" i="2"/>
  <c r="AF96" i="2"/>
  <c r="V96" i="2"/>
  <c r="E81" i="2"/>
  <c r="AC107" i="2"/>
  <c r="AG81" i="2"/>
  <c r="AC81" i="2"/>
  <c r="AP81" i="2"/>
  <c r="X81" i="2"/>
  <c r="N81" i="2"/>
  <c r="AQ81" i="2"/>
  <c r="Y81" i="2"/>
  <c r="K81" i="2"/>
  <c r="AD91" i="2"/>
  <c r="Z96" i="2"/>
  <c r="AE107" i="2"/>
  <c r="J81" i="2"/>
  <c r="AB81" i="2"/>
  <c r="AN81" i="2"/>
  <c r="S81" i="2"/>
  <c r="O81" i="2"/>
  <c r="AB205" i="2"/>
  <c r="AO81" i="2"/>
  <c r="AR12" i="3"/>
  <c r="AQ12" i="3"/>
  <c r="AN12" i="3"/>
  <c r="AP12" i="3"/>
  <c r="AO12" i="3"/>
  <c r="AV81" i="2"/>
  <c r="T81" i="2"/>
  <c r="AK96" i="2"/>
  <c r="AI205" i="2"/>
  <c r="U81" i="2"/>
  <c r="AV98" i="2"/>
  <c r="EC98" i="2" s="1"/>
  <c r="AV96" i="2"/>
  <c r="AA107" i="2"/>
  <c r="Y107" i="2"/>
  <c r="AQ96" i="2"/>
  <c r="AK12" i="3"/>
  <c r="AM11" i="3"/>
  <c r="DJ11" i="3" s="1"/>
  <c r="AL12" i="3"/>
  <c r="AJ12" i="3"/>
  <c r="AM12" i="3"/>
  <c r="DG12" i="3" l="1"/>
  <c r="EK205" i="2"/>
  <c r="EJ205" i="2"/>
  <c r="DK12" i="3"/>
  <c r="DB12" i="3"/>
  <c r="EI12" i="3"/>
  <c r="EH12" i="3"/>
  <c r="DY12" i="3"/>
  <c r="EE12" i="3"/>
  <c r="DV12" i="3"/>
  <c r="EF12" i="3"/>
  <c r="DI12" i="3"/>
  <c r="DP12" i="3"/>
  <c r="EG12" i="3"/>
  <c r="DE12" i="3"/>
  <c r="EI11" i="3"/>
  <c r="EH11" i="3"/>
  <c r="EG11" i="3"/>
  <c r="EI205" i="2"/>
  <c r="EL205" i="2"/>
  <c r="EK98" i="2"/>
  <c r="EJ98" i="2"/>
  <c r="EL98" i="2"/>
  <c r="DF12" i="3"/>
  <c r="EA12" i="3"/>
  <c r="DX11" i="3"/>
  <c r="DS11" i="3"/>
  <c r="EI98" i="2"/>
  <c r="DX12" i="3"/>
  <c r="DR12" i="3"/>
  <c r="DW12" i="3"/>
  <c r="DK11" i="3"/>
  <c r="DL11" i="3"/>
  <c r="DH11" i="3"/>
  <c r="ED11" i="3"/>
  <c r="DN11" i="3"/>
  <c r="DL12" i="3"/>
  <c r="DO12" i="3"/>
  <c r="DQ11" i="3"/>
  <c r="DV11" i="3"/>
  <c r="DW11" i="3"/>
  <c r="EF11" i="3"/>
  <c r="DM11" i="3"/>
  <c r="DD11" i="3"/>
  <c r="DO11" i="3"/>
  <c r="DS12" i="3"/>
  <c r="DZ11" i="3"/>
  <c r="DN12" i="3"/>
  <c r="DT12" i="3"/>
  <c r="DT11" i="3"/>
  <c r="DE11" i="3"/>
  <c r="EA11" i="3"/>
  <c r="DP11" i="3"/>
  <c r="DR11" i="3"/>
  <c r="DC12" i="3"/>
  <c r="DY11" i="3"/>
  <c r="DD12" i="3"/>
  <c r="DU12" i="3"/>
  <c r="DM12" i="3"/>
  <c r="DF11" i="3"/>
  <c r="EB11" i="3"/>
  <c r="DG11" i="3"/>
  <c r="EC11" i="3"/>
  <c r="DI11" i="3"/>
  <c r="EC12" i="3"/>
  <c r="EE11" i="3"/>
  <c r="EB12" i="3"/>
  <c r="DU11" i="3"/>
  <c r="ED12" i="3"/>
  <c r="DQ12" i="3"/>
  <c r="EH205" i="2"/>
  <c r="EG205" i="2"/>
  <c r="EG98" i="2"/>
  <c r="EH98" i="2"/>
  <c r="DU205" i="2"/>
  <c r="EA205" i="2"/>
  <c r="DN98" i="2"/>
  <c r="DP205" i="2"/>
  <c r="DY98" i="2"/>
  <c r="EF205" i="2"/>
  <c r="CU96" i="2"/>
  <c r="CQ96" i="2"/>
  <c r="CN96" i="2"/>
  <c r="CT96" i="2"/>
  <c r="CV96" i="2"/>
  <c r="CJ96" i="2"/>
  <c r="CM96" i="2"/>
  <c r="CK96" i="2"/>
  <c r="CL96" i="2"/>
  <c r="CP96" i="2"/>
  <c r="CR96" i="2"/>
  <c r="CS96" i="2"/>
  <c r="CO96" i="2"/>
  <c r="CI96" i="2"/>
  <c r="CW96" i="2"/>
  <c r="CH96" i="2"/>
  <c r="DA205" i="2"/>
  <c r="EE205" i="2"/>
  <c r="DJ205" i="2"/>
  <c r="ED205" i="2"/>
  <c r="DH205" i="2"/>
  <c r="DX98" i="2"/>
  <c r="EC205" i="2"/>
  <c r="EB205" i="2"/>
  <c r="DM205" i="2"/>
  <c r="DQ98" i="2"/>
  <c r="DP98" i="2"/>
  <c r="DY205" i="2"/>
  <c r="DQ205" i="2"/>
  <c r="DF205" i="2"/>
  <c r="DO98" i="2"/>
  <c r="DM98" i="2"/>
  <c r="DZ205" i="2"/>
  <c r="CW205" i="2"/>
  <c r="DO205" i="2"/>
  <c r="DT98" i="2"/>
  <c r="DT205" i="2"/>
  <c r="DK205" i="2"/>
  <c r="DE205" i="2"/>
  <c r="DV98" i="2"/>
  <c r="DV205" i="2"/>
  <c r="DX205" i="2"/>
  <c r="DS205" i="2"/>
  <c r="EF98" i="2"/>
  <c r="DR205" i="2"/>
  <c r="ED98" i="2"/>
  <c r="DZ98" i="2"/>
  <c r="CX205" i="2"/>
  <c r="DG205" i="2"/>
  <c r="CY205" i="2"/>
  <c r="DC205" i="2"/>
  <c r="DL98" i="2"/>
  <c r="DS98" i="2"/>
  <c r="EE98" i="2"/>
  <c r="DL205" i="2"/>
  <c r="DW205" i="2"/>
  <c r="EA98" i="2"/>
  <c r="EB98" i="2"/>
  <c r="DI205" i="2"/>
  <c r="DD205" i="2"/>
  <c r="DK98" i="2"/>
  <c r="DW98" i="2"/>
  <c r="DU98" i="2"/>
  <c r="DB205" i="2"/>
  <c r="DR98" i="2"/>
  <c r="DN205" i="2"/>
  <c r="CZ205" i="2"/>
  <c r="DQ91" i="2"/>
  <c r="P81" i="2"/>
  <c r="T107" i="2"/>
  <c r="P107" i="2"/>
  <c r="P110" i="2" s="1"/>
  <c r="P115" i="2" s="1"/>
  <c r="W107" i="2"/>
  <c r="AN107" i="2"/>
  <c r="S107" i="2"/>
  <c r="S110" i="2" s="1"/>
  <c r="S115" i="2" s="1"/>
  <c r="AM107" i="2"/>
  <c r="AM110" i="2" s="1"/>
  <c r="H107" i="2"/>
  <c r="G107" i="2"/>
  <c r="F107" i="2"/>
  <c r="F110" i="2" s="1"/>
  <c r="F115" i="2" s="1"/>
  <c r="Q107" i="2"/>
  <c r="Q110" i="2" s="1"/>
  <c r="Q115" i="2" s="1"/>
  <c r="K107" i="2"/>
  <c r="K110" i="2" s="1"/>
  <c r="K115" i="2" s="1"/>
  <c r="AH107" i="2"/>
  <c r="AH110" i="2" s="1"/>
  <c r="AH115" i="2" s="1"/>
  <c r="O107" i="2"/>
  <c r="O110" i="2" s="1"/>
  <c r="O115" i="2" s="1"/>
  <c r="AI107" i="2"/>
  <c r="R107" i="2"/>
  <c r="R110" i="2" s="1"/>
  <c r="R115" i="2" s="1"/>
  <c r="J107" i="2"/>
  <c r="X107" i="2"/>
  <c r="M107" i="2"/>
  <c r="N107" i="2"/>
  <c r="N110" i="2" s="1"/>
  <c r="N115" i="2" s="1"/>
  <c r="U107" i="2"/>
  <c r="AF107" i="2"/>
  <c r="AB107" i="2"/>
  <c r="E107" i="2"/>
  <c r="I107" i="2"/>
  <c r="I110" i="2" s="1"/>
  <c r="I115" i="2" s="1"/>
  <c r="AP107" i="2"/>
  <c r="AP110" i="2" s="1"/>
  <c r="L107" i="2"/>
  <c r="AL107" i="2"/>
  <c r="AL110" i="2" s="1"/>
  <c r="AJ96" i="2"/>
  <c r="AO107" i="2"/>
  <c r="AG107" i="2"/>
  <c r="V107" i="2"/>
  <c r="AC110" i="2"/>
  <c r="AC115" i="2" s="1"/>
  <c r="Z107" i="2"/>
  <c r="AE110" i="2"/>
  <c r="AE115" i="2" s="1"/>
  <c r="AD96" i="2"/>
  <c r="AK107" i="2"/>
  <c r="AQ107" i="2"/>
  <c r="Y110" i="2"/>
  <c r="Y115" i="2" s="1"/>
  <c r="AA110" i="2"/>
  <c r="AA115" i="2" s="1"/>
  <c r="AV107" i="2"/>
  <c r="EI96" i="2" l="1"/>
  <c r="EK96" i="2"/>
  <c r="EL96" i="2"/>
  <c r="EJ96" i="2"/>
  <c r="EG96" i="2"/>
  <c r="EH96" i="2"/>
  <c r="DT96" i="2"/>
  <c r="DW96" i="2"/>
  <c r="DQ96" i="2"/>
  <c r="DV96" i="2"/>
  <c r="CH107" i="2"/>
  <c r="CV107" i="2"/>
  <c r="CP107" i="2"/>
  <c r="CM107" i="2"/>
  <c r="CU107" i="2"/>
  <c r="CJ107" i="2"/>
  <c r="CW107" i="2"/>
  <c r="CI107" i="2"/>
  <c r="CL107" i="2"/>
  <c r="CT107" i="2"/>
  <c r="CK107" i="2"/>
  <c r="CO107" i="2"/>
  <c r="CR107" i="2"/>
  <c r="CN107" i="2"/>
  <c r="CS107" i="2"/>
  <c r="CQ107" i="2"/>
  <c r="DX96" i="2"/>
  <c r="DD96" i="2"/>
  <c r="DG96" i="2"/>
  <c r="DK96" i="2"/>
  <c r="EF96" i="2"/>
  <c r="DC96" i="2"/>
  <c r="CZ96" i="2"/>
  <c r="DE96" i="2"/>
  <c r="EB96" i="2"/>
  <c r="DB96" i="2"/>
  <c r="EA96" i="2"/>
  <c r="CY96" i="2"/>
  <c r="ED96" i="2"/>
  <c r="DS96" i="2"/>
  <c r="DR96" i="2"/>
  <c r="DH96" i="2"/>
  <c r="CX96" i="2"/>
  <c r="EC96" i="2"/>
  <c r="EE96" i="2"/>
  <c r="DF96" i="2"/>
  <c r="DA96" i="2"/>
  <c r="DP96" i="2"/>
  <c r="DL96" i="2"/>
  <c r="DZ96" i="2"/>
  <c r="DY96" i="2"/>
  <c r="DU96" i="2"/>
  <c r="DM96" i="2"/>
  <c r="DN96" i="2"/>
  <c r="DJ96" i="2"/>
  <c r="DO96" i="2"/>
  <c r="DI96" i="2"/>
  <c r="E110" i="2"/>
  <c r="T110" i="2"/>
  <c r="T115" i="2" s="1"/>
  <c r="AN110" i="2"/>
  <c r="W110" i="2"/>
  <c r="W115" i="2" s="1"/>
  <c r="CH110" i="2" l="1"/>
  <c r="CH127" i="2" s="1"/>
  <c r="E115" i="2"/>
  <c r="G110" i="2"/>
  <c r="G115" i="2" s="1"/>
  <c r="H110" i="2"/>
  <c r="H115" i="2" s="1"/>
  <c r="AB110" i="2"/>
  <c r="AB115" i="2" s="1"/>
  <c r="O118" i="2"/>
  <c r="AI110" i="2"/>
  <c r="AI115" i="2" s="1"/>
  <c r="J110" i="2"/>
  <c r="J115" i="2" s="1"/>
  <c r="X110" i="2"/>
  <c r="X115" i="2" s="1"/>
  <c r="U110" i="2"/>
  <c r="U115" i="2" s="1"/>
  <c r="L110" i="2"/>
  <c r="L115" i="2" s="1"/>
  <c r="M110" i="2"/>
  <c r="M115" i="2" s="1"/>
  <c r="AF110" i="2"/>
  <c r="AF115" i="2" s="1"/>
  <c r="AO110" i="2"/>
  <c r="AJ107" i="2"/>
  <c r="AG110" i="2"/>
  <c r="AG115" i="2" s="1"/>
  <c r="V110" i="2"/>
  <c r="V115" i="2" s="1"/>
  <c r="AC118" i="2"/>
  <c r="AQ110" i="2"/>
  <c r="AQ115" i="2" s="1"/>
  <c r="AD107" i="2"/>
  <c r="AE118" i="2"/>
  <c r="Z110" i="2"/>
  <c r="Z115" i="2" s="1"/>
  <c r="AM127" i="2"/>
  <c r="AM115" i="2"/>
  <c r="W118" i="2"/>
  <c r="AK110" i="2"/>
  <c r="AH118" i="2"/>
  <c r="Q118" i="2"/>
  <c r="F118" i="2"/>
  <c r="K118" i="2"/>
  <c r="T118" i="2"/>
  <c r="N118" i="2"/>
  <c r="I118" i="2"/>
  <c r="AP115" i="2"/>
  <c r="AP127" i="2"/>
  <c r="P118" i="2"/>
  <c r="S118" i="2"/>
  <c r="AV110" i="2"/>
  <c r="AV127" i="2" s="1"/>
  <c r="AA118" i="2"/>
  <c r="E118" i="2"/>
  <c r="Y118" i="2"/>
  <c r="R118" i="2"/>
  <c r="AN127" i="2"/>
  <c r="AN115" i="2"/>
  <c r="AL115" i="2"/>
  <c r="AL127" i="2"/>
  <c r="EI107" i="2" l="1"/>
  <c r="EL107" i="2"/>
  <c r="EJ107" i="2"/>
  <c r="EK107" i="2"/>
  <c r="EG107" i="2"/>
  <c r="EH107" i="2"/>
  <c r="CS110" i="2"/>
  <c r="CS127" i="2" s="1"/>
  <c r="CM110" i="2"/>
  <c r="CM127" i="2" s="1"/>
  <c r="CJ110" i="2"/>
  <c r="CJ127" i="2" s="1"/>
  <c r="CK110" i="2"/>
  <c r="CK127" i="2" s="1"/>
  <c r="CU110" i="2"/>
  <c r="CU127" i="2" s="1"/>
  <c r="CT110" i="2"/>
  <c r="CT127" i="2" s="1"/>
  <c r="CO110" i="2"/>
  <c r="CO127" i="2" s="1"/>
  <c r="CH118" i="2"/>
  <c r="CH125" i="2" s="1"/>
  <c r="CW110" i="2"/>
  <c r="CW127" i="2" s="1"/>
  <c r="CR110" i="2"/>
  <c r="CR127" i="2" s="1"/>
  <c r="CI110" i="2"/>
  <c r="CI127" i="2" s="1"/>
  <c r="CN110" i="2"/>
  <c r="CN127" i="2" s="1"/>
  <c r="DJ107" i="2"/>
  <c r="DH107" i="2"/>
  <c r="DC107" i="2"/>
  <c r="DP107" i="2"/>
  <c r="DT107" i="2"/>
  <c r="DM107" i="2"/>
  <c r="DD107" i="2"/>
  <c r="DK107" i="2"/>
  <c r="DN107" i="2"/>
  <c r="EF107" i="2"/>
  <c r="DZ107" i="2"/>
  <c r="ED107" i="2"/>
  <c r="CZ107" i="2"/>
  <c r="DF107" i="2"/>
  <c r="DW107" i="2"/>
  <c r="DR107" i="2"/>
  <c r="DY107" i="2"/>
  <c r="CX107" i="2"/>
  <c r="DL107" i="2"/>
  <c r="DO107" i="2"/>
  <c r="DX107" i="2"/>
  <c r="DG107" i="2"/>
  <c r="DS107" i="2"/>
  <c r="DV107" i="2"/>
  <c r="DE107" i="2"/>
  <c r="DI107" i="2"/>
  <c r="DQ107" i="2"/>
  <c r="CY107" i="2"/>
  <c r="DU107" i="2"/>
  <c r="EE107" i="2"/>
  <c r="DA107" i="2"/>
  <c r="DB107" i="2"/>
  <c r="EB107" i="2"/>
  <c r="EC107" i="2"/>
  <c r="EA107" i="2"/>
  <c r="CV110" i="2"/>
  <c r="CV127" i="2" s="1"/>
  <c r="CL110" i="2"/>
  <c r="CL127" i="2" s="1"/>
  <c r="CT115" i="2"/>
  <c r="CH115" i="2"/>
  <c r="CV115" i="2"/>
  <c r="CJ115" i="2"/>
  <c r="CM115" i="2"/>
  <c r="CK115" i="2"/>
  <c r="CI115" i="2"/>
  <c r="CQ115" i="2"/>
  <c r="CL115" i="2"/>
  <c r="CP115" i="2"/>
  <c r="CR115" i="2"/>
  <c r="CS115" i="2"/>
  <c r="CN115" i="2"/>
  <c r="CO115" i="2"/>
  <c r="CU115" i="2"/>
  <c r="CW115" i="2"/>
  <c r="CP110" i="2"/>
  <c r="CP127" i="2" s="1"/>
  <c r="CQ110" i="2"/>
  <c r="CQ127" i="2" s="1"/>
  <c r="H118" i="2"/>
  <c r="AI118" i="2"/>
  <c r="G118" i="2"/>
  <c r="J118" i="2"/>
  <c r="O125" i="2"/>
  <c r="L118" i="2"/>
  <c r="X118" i="2"/>
  <c r="AB118" i="2"/>
  <c r="M118" i="2"/>
  <c r="U118" i="2"/>
  <c r="AF118" i="2"/>
  <c r="AO115" i="2"/>
  <c r="AO127" i="2"/>
  <c r="AJ110" i="2"/>
  <c r="AJ115" i="2" s="1"/>
  <c r="AG118" i="2"/>
  <c r="AQ127" i="2"/>
  <c r="V118" i="2"/>
  <c r="AC125" i="2"/>
  <c r="AC169" i="2" s="1"/>
  <c r="AC200" i="2" s="1"/>
  <c r="Z118" i="2"/>
  <c r="AD110" i="2"/>
  <c r="AE125" i="2"/>
  <c r="AE169" i="2" s="1"/>
  <c r="AE200" i="2" s="1"/>
  <c r="AK115" i="2"/>
  <c r="AK127" i="2"/>
  <c r="W125" i="2"/>
  <c r="AM118" i="2"/>
  <c r="Q125" i="2"/>
  <c r="T125" i="2"/>
  <c r="F125" i="2"/>
  <c r="AH125" i="2"/>
  <c r="K125" i="2"/>
  <c r="I125" i="2"/>
  <c r="AP118" i="2"/>
  <c r="N125" i="2"/>
  <c r="S125" i="2"/>
  <c r="P125" i="2"/>
  <c r="AL118" i="2"/>
  <c r="AN118" i="2"/>
  <c r="R125" i="2"/>
  <c r="Y125" i="2"/>
  <c r="Y169" i="2" s="1"/>
  <c r="Y200" i="2" s="1"/>
  <c r="E125" i="2"/>
  <c r="AA125" i="2"/>
  <c r="AA169" i="2" s="1"/>
  <c r="AA200" i="2" s="1"/>
  <c r="AV115" i="2"/>
  <c r="AQ118" i="2"/>
  <c r="EL110" i="2" l="1"/>
  <c r="EL127" i="2" s="1"/>
  <c r="EL169" i="2" s="1"/>
  <c r="EL200" i="2" s="1"/>
  <c r="EI110" i="2"/>
  <c r="EI127" i="2" s="1"/>
  <c r="EI169" i="2" s="1"/>
  <c r="EI200" i="2" s="1"/>
  <c r="EK110" i="2"/>
  <c r="EK127" i="2" s="1"/>
  <c r="EK169" i="2" s="1"/>
  <c r="EK200" i="2" s="1"/>
  <c r="EJ110" i="2"/>
  <c r="EJ127" i="2" s="1"/>
  <c r="EJ169" i="2" s="1"/>
  <c r="EJ200" i="2" s="1"/>
  <c r="EH110" i="2"/>
  <c r="EH127" i="2" s="1"/>
  <c r="EH169" i="2" s="1"/>
  <c r="EH200" i="2" s="1"/>
  <c r="EG110" i="2"/>
  <c r="EG127" i="2" s="1"/>
  <c r="EG169" i="2" s="1"/>
  <c r="EG200" i="2" s="1"/>
  <c r="DJ110" i="2"/>
  <c r="DJ127" i="2" s="1"/>
  <c r="DN110" i="2"/>
  <c r="DN127" i="2" s="1"/>
  <c r="CQ118" i="2"/>
  <c r="CQ125" i="2" s="1"/>
  <c r="DT110" i="2"/>
  <c r="DT127" i="2" s="1"/>
  <c r="CZ110" i="2"/>
  <c r="CZ127" i="2" s="1"/>
  <c r="DD110" i="2"/>
  <c r="DD127" i="2" s="1"/>
  <c r="CU118" i="2"/>
  <c r="CU125" i="2" s="1"/>
  <c r="DA110" i="2"/>
  <c r="DA127" i="2" s="1"/>
  <c r="DW110" i="2"/>
  <c r="DW127" i="2" s="1"/>
  <c r="CW118" i="2"/>
  <c r="CW125" i="2" s="1"/>
  <c r="DY110" i="2"/>
  <c r="DY127" i="2" s="1"/>
  <c r="EB110" i="2"/>
  <c r="EB127" i="2" s="1"/>
  <c r="CP118" i="2"/>
  <c r="CP125" i="2" s="1"/>
  <c r="CN118" i="2"/>
  <c r="CN125" i="2" s="1"/>
  <c r="DV110" i="2"/>
  <c r="DV127" i="2" s="1"/>
  <c r="CM118" i="2"/>
  <c r="CM125" i="2" s="1"/>
  <c r="DS110" i="2"/>
  <c r="DS127" i="2" s="1"/>
  <c r="CY110" i="2"/>
  <c r="CY127" i="2" s="1"/>
  <c r="CK118" i="2"/>
  <c r="CK125" i="2" s="1"/>
  <c r="DZ110" i="2"/>
  <c r="DZ127" i="2" s="1"/>
  <c r="DG110" i="2"/>
  <c r="DG127" i="2" s="1"/>
  <c r="DM110" i="2"/>
  <c r="DM127" i="2" s="1"/>
  <c r="DF110" i="2"/>
  <c r="DF127" i="2" s="1"/>
  <c r="EF110" i="2"/>
  <c r="EF127" i="2" s="1"/>
  <c r="EF169" i="2" s="1"/>
  <c r="EF200" i="2" s="1"/>
  <c r="DX110" i="2"/>
  <c r="DX127" i="2" s="1"/>
  <c r="DI110" i="2"/>
  <c r="DI127" i="2" s="1"/>
  <c r="CO118" i="2"/>
  <c r="CO125" i="2" s="1"/>
  <c r="CV118" i="2"/>
  <c r="CV125" i="2" s="1"/>
  <c r="DL110" i="2"/>
  <c r="DL127" i="2" s="1"/>
  <c r="EC110" i="2"/>
  <c r="EC127" i="2" s="1"/>
  <c r="EC169" i="2" s="1"/>
  <c r="EC200" i="2" s="1"/>
  <c r="CJ118" i="2"/>
  <c r="CJ125" i="2" s="1"/>
  <c r="CR118" i="2"/>
  <c r="CR125" i="2" s="1"/>
  <c r="DK110" i="2"/>
  <c r="DK127" i="2" s="1"/>
  <c r="CI118" i="2"/>
  <c r="CI125" i="2" s="1"/>
  <c r="DE110" i="2"/>
  <c r="DE127" i="2" s="1"/>
  <c r="DQ110" i="2"/>
  <c r="DQ127" i="2" s="1"/>
  <c r="CS118" i="2"/>
  <c r="CS125" i="2" s="1"/>
  <c r="CT118" i="2"/>
  <c r="CT125" i="2" s="1"/>
  <c r="ED110" i="2"/>
  <c r="ED127" i="2" s="1"/>
  <c r="ED169" i="2" s="1"/>
  <c r="ED200" i="2" s="1"/>
  <c r="DC110" i="2"/>
  <c r="DC127" i="2" s="1"/>
  <c r="DR110" i="2"/>
  <c r="DR127" i="2" s="1"/>
  <c r="DP110" i="2"/>
  <c r="DP127" i="2" s="1"/>
  <c r="DH110" i="2"/>
  <c r="DH127" i="2" s="1"/>
  <c r="DU110" i="2"/>
  <c r="DU127" i="2" s="1"/>
  <c r="CX110" i="2"/>
  <c r="CX127" i="2" s="1"/>
  <c r="DB110" i="2"/>
  <c r="DB127" i="2" s="1"/>
  <c r="DO110" i="2"/>
  <c r="DO127" i="2" s="1"/>
  <c r="CL118" i="2"/>
  <c r="CL125" i="2" s="1"/>
  <c r="EA110" i="2"/>
  <c r="EA127" i="2" s="1"/>
  <c r="EE110" i="2"/>
  <c r="EE127" i="2" s="1"/>
  <c r="EE169" i="2" s="1"/>
  <c r="EE200" i="2" s="1"/>
  <c r="AD115" i="2"/>
  <c r="AI125" i="2"/>
  <c r="EI115" i="2" l="1"/>
  <c r="EJ115" i="2"/>
  <c r="EK115" i="2"/>
  <c r="EL115" i="2"/>
  <c r="EH115" i="2"/>
  <c r="EG115" i="2"/>
  <c r="DV115" i="2"/>
  <c r="DT115" i="2"/>
  <c r="DO115" i="2"/>
  <c r="CZ115" i="2"/>
  <c r="DG115" i="2"/>
  <c r="DU115" i="2"/>
  <c r="DQ115" i="2"/>
  <c r="EE115" i="2"/>
  <c r="DX115" i="2"/>
  <c r="DM115" i="2"/>
  <c r="DJ115" i="2"/>
  <c r="DN115" i="2"/>
  <c r="CX115" i="2"/>
  <c r="DE115" i="2"/>
  <c r="DK115" i="2"/>
  <c r="EF115" i="2"/>
  <c r="DY115" i="2"/>
  <c r="DZ115" i="2"/>
  <c r="DS115" i="2"/>
  <c r="DL115" i="2"/>
  <c r="DF115" i="2"/>
  <c r="DP115" i="2"/>
  <c r="EC115" i="2"/>
  <c r="DA115" i="2"/>
  <c r="DW115" i="2"/>
  <c r="DD115" i="2"/>
  <c r="DH115" i="2"/>
  <c r="DC115" i="2"/>
  <c r="EB115" i="2"/>
  <c r="DI115" i="2"/>
  <c r="DB115" i="2"/>
  <c r="DR115" i="2"/>
  <c r="CY115" i="2"/>
  <c r="ED115" i="2"/>
  <c r="EA115" i="2"/>
  <c r="G125" i="2"/>
  <c r="H125" i="2"/>
  <c r="X125" i="2"/>
  <c r="AB125" i="2"/>
  <c r="J125" i="2"/>
  <c r="L125" i="2"/>
  <c r="M125" i="2"/>
  <c r="U125" i="2"/>
  <c r="AF125" i="2"/>
  <c r="AO118" i="2"/>
  <c r="AJ118" i="2"/>
  <c r="AG125" i="2"/>
  <c r="V125" i="2"/>
  <c r="AD118" i="2"/>
  <c r="Z125" i="2"/>
  <c r="AM125" i="2"/>
  <c r="AK118" i="2"/>
  <c r="AP125" i="2"/>
  <c r="AV118" i="2"/>
  <c r="EI118" i="2" s="1"/>
  <c r="EI125" i="2" s="1"/>
  <c r="AN125" i="2"/>
  <c r="AL125" i="2"/>
  <c r="AQ125" i="2"/>
  <c r="EL118" i="2" l="1"/>
  <c r="EL125" i="2" s="1"/>
  <c r="EJ118" i="2"/>
  <c r="EJ125" i="2" s="1"/>
  <c r="EK118" i="2"/>
  <c r="EK125" i="2" s="1"/>
  <c r="EH118" i="2"/>
  <c r="EH125" i="2" s="1"/>
  <c r="EG118" i="2"/>
  <c r="EG125" i="2" s="1"/>
  <c r="EA118" i="2"/>
  <c r="EA125" i="2" s="1"/>
  <c r="CX118" i="2"/>
  <c r="CX125" i="2" s="1"/>
  <c r="CZ118" i="2"/>
  <c r="DZ118" i="2"/>
  <c r="DZ125" i="2" s="1"/>
  <c r="DR118" i="2"/>
  <c r="DR125" i="2" s="1"/>
  <c r="DG118" i="2"/>
  <c r="DG125" i="2" s="1"/>
  <c r="DE118" i="2"/>
  <c r="DE125" i="2" s="1"/>
  <c r="DJ118" i="2"/>
  <c r="DJ125" i="2" s="1"/>
  <c r="DF118" i="2"/>
  <c r="DF125" i="2" s="1"/>
  <c r="DK118" i="2"/>
  <c r="DK125" i="2" s="1"/>
  <c r="EC118" i="2"/>
  <c r="EC125" i="2" s="1"/>
  <c r="DY118" i="2"/>
  <c r="DY125" i="2" s="1"/>
  <c r="DV118" i="2"/>
  <c r="DV125" i="2" s="1"/>
  <c r="DN118" i="2"/>
  <c r="DN125" i="2" s="1"/>
  <c r="DX118" i="2"/>
  <c r="DX125" i="2" s="1"/>
  <c r="EE118" i="2"/>
  <c r="EE125" i="2" s="1"/>
  <c r="DO118" i="2"/>
  <c r="DO125" i="2" s="1"/>
  <c r="EB118" i="2"/>
  <c r="EB125" i="2" s="1"/>
  <c r="DU118" i="2"/>
  <c r="DU125" i="2" s="1"/>
  <c r="DC118" i="2"/>
  <c r="DC125" i="2" s="1"/>
  <c r="DL118" i="2"/>
  <c r="DL125" i="2" s="1"/>
  <c r="DW118" i="2"/>
  <c r="DW125" i="2" s="1"/>
  <c r="DA118" i="2"/>
  <c r="DA125" i="2" s="1"/>
  <c r="DD118" i="2"/>
  <c r="DD125" i="2" s="1"/>
  <c r="DQ118" i="2"/>
  <c r="DQ125" i="2" s="1"/>
  <c r="CY118" i="2"/>
  <c r="CY125" i="2" s="1"/>
  <c r="DM118" i="2"/>
  <c r="DM125" i="2" s="1"/>
  <c r="EF118" i="2"/>
  <c r="EF125" i="2" s="1"/>
  <c r="DP118" i="2"/>
  <c r="DP125" i="2" s="1"/>
  <c r="DB118" i="2"/>
  <c r="DB125" i="2" s="1"/>
  <c r="ED118" i="2"/>
  <c r="ED125" i="2" s="1"/>
  <c r="DS118" i="2"/>
  <c r="DS125" i="2" s="1"/>
  <c r="DI118" i="2"/>
  <c r="DI125" i="2" s="1"/>
  <c r="DT118" i="2"/>
  <c r="DT125" i="2" s="1"/>
  <c r="DH118" i="2"/>
  <c r="DH125" i="2" s="1"/>
  <c r="CZ125" i="2"/>
  <c r="AV125" i="2"/>
  <c r="AJ125" i="2"/>
  <c r="AO125" i="2"/>
  <c r="AD125" i="2"/>
  <c r="AK125" i="2"/>
  <c r="BR129" i="2" l="1"/>
  <c r="BR169" i="2" s="1"/>
  <c r="BR200" i="2" s="1"/>
  <c r="BM129" i="2" l="1"/>
  <c r="BM169" i="2" s="1"/>
  <c r="BM200" i="2" s="1"/>
  <c r="BB129" i="2"/>
  <c r="BB169" i="2" s="1"/>
  <c r="BB200" i="2" s="1"/>
  <c r="DZ129" i="2"/>
  <c r="DZ169" i="2" s="1"/>
  <c r="DZ200" i="2" s="1"/>
  <c r="DA129" i="2"/>
  <c r="DA169" i="2" s="1"/>
  <c r="DA200" i="2" s="1"/>
  <c r="DE129" i="2"/>
  <c r="DE169" i="2" s="1"/>
  <c r="DE200" i="2" s="1"/>
  <c r="S129" i="2"/>
  <c r="S169" i="2" s="1"/>
  <c r="S200" i="2" s="1"/>
  <c r="G129" i="2"/>
  <c r="G169" i="2" s="1"/>
  <c r="G200" i="2" s="1"/>
  <c r="BA129" i="2"/>
  <c r="BA169" i="2" s="1"/>
  <c r="BA200" i="2" s="1"/>
  <c r="DV129" i="2"/>
  <c r="DV169" i="2" s="1"/>
  <c r="DV200" i="2" s="1"/>
  <c r="DX129" i="2"/>
  <c r="DX169" i="2" s="1"/>
  <c r="DX200" i="2" s="1"/>
  <c r="DJ129" i="2"/>
  <c r="DJ169" i="2" s="1"/>
  <c r="DJ200" i="2" s="1"/>
  <c r="DH129" i="2"/>
  <c r="DH169" i="2" s="1"/>
  <c r="DH200" i="2" s="1"/>
  <c r="AN129" i="2"/>
  <c r="AN169" i="2" s="1"/>
  <c r="AN200" i="2" s="1"/>
  <c r="K129" i="2"/>
  <c r="K169" i="2" s="1"/>
  <c r="K200" i="2" s="1"/>
  <c r="U129" i="2"/>
  <c r="U169" i="2" s="1"/>
  <c r="U200" i="2" s="1"/>
  <c r="X129" i="2"/>
  <c r="X169" i="2" s="1"/>
  <c r="X200" i="2" s="1"/>
  <c r="Z129" i="2"/>
  <c r="Z169" i="2" s="1"/>
  <c r="Z200" i="2" s="1"/>
  <c r="BL129" i="2"/>
  <c r="BL169" i="2" s="1"/>
  <c r="BL200" i="2" s="1"/>
  <c r="DB129" i="2"/>
  <c r="DB169" i="2" s="1"/>
  <c r="DB200" i="2" s="1"/>
  <c r="M129" i="2"/>
  <c r="M169" i="2" s="1"/>
  <c r="M200" i="2" s="1"/>
  <c r="AH129" i="2"/>
  <c r="AH169" i="2" s="1"/>
  <c r="AH200" i="2" s="1"/>
  <c r="AW129" i="2"/>
  <c r="AW169" i="2" s="1"/>
  <c r="AW200" i="2" s="1"/>
  <c r="DC129" i="2"/>
  <c r="DC169" i="2" s="1"/>
  <c r="DC200" i="2" s="1"/>
  <c r="R129" i="2"/>
  <c r="R169" i="2" s="1"/>
  <c r="R200" i="2" s="1"/>
  <c r="BJ129" i="2"/>
  <c r="BJ169" i="2" s="1"/>
  <c r="BJ200" i="2" s="1"/>
  <c r="CS129" i="2"/>
  <c r="CS169" i="2" s="1"/>
  <c r="CS200" i="2" s="1"/>
  <c r="AV129" i="2"/>
  <c r="AV169" i="2" s="1"/>
  <c r="AV200" i="2" s="1"/>
  <c r="CJ129" i="2"/>
  <c r="CJ169" i="2" s="1"/>
  <c r="CJ200" i="2" s="1"/>
  <c r="DL129" i="2"/>
  <c r="DL169" i="2" s="1"/>
  <c r="DL200" i="2" s="1"/>
  <c r="T129" i="2"/>
  <c r="T169" i="2" s="1"/>
  <c r="T200" i="2" s="1"/>
  <c r="EA129" i="2"/>
  <c r="EA169" i="2" s="1"/>
  <c r="EA200" i="2" s="1"/>
  <c r="V129" i="2"/>
  <c r="V169" i="2" s="1"/>
  <c r="V200" i="2" s="1"/>
  <c r="CU129" i="2"/>
  <c r="CU169" i="2" s="1"/>
  <c r="CU200" i="2" s="1"/>
  <c r="AQ129" i="2"/>
  <c r="AQ169" i="2" s="1"/>
  <c r="AQ200" i="2" s="1"/>
  <c r="AY129" i="2"/>
  <c r="AY169" i="2" s="1"/>
  <c r="AY200" i="2" s="1"/>
  <c r="CZ129" i="2"/>
  <c r="CZ169" i="2" s="1"/>
  <c r="CZ200" i="2" s="1"/>
  <c r="CK129" i="2"/>
  <c r="CK169" i="2" s="1"/>
  <c r="CK200" i="2" s="1"/>
  <c r="DG129" i="2"/>
  <c r="DG169" i="2" s="1"/>
  <c r="DG200" i="2" s="1"/>
  <c r="BC129" i="2"/>
  <c r="BC169" i="2" s="1"/>
  <c r="BC200" i="2" s="1"/>
  <c r="BI129" i="2"/>
  <c r="BI169" i="2" s="1"/>
  <c r="BI200" i="2" s="1"/>
  <c r="AX129" i="2"/>
  <c r="AX169" i="2" s="1"/>
  <c r="AX200" i="2" s="1"/>
  <c r="CI129" i="2"/>
  <c r="CI169" i="2" s="1"/>
  <c r="CI200" i="2" s="1"/>
  <c r="CT129" i="2"/>
  <c r="CT169" i="2" s="1"/>
  <c r="CT200" i="2" s="1"/>
  <c r="DM129" i="2"/>
  <c r="DM169" i="2" s="1"/>
  <c r="DM200" i="2" s="1"/>
  <c r="AK129" i="2"/>
  <c r="AK169" i="2" s="1"/>
  <c r="AK200" i="2" s="1"/>
  <c r="AO129" i="2"/>
  <c r="AO169" i="2" s="1"/>
  <c r="AO200" i="2" s="1"/>
  <c r="AJ129" i="2"/>
  <c r="AJ169" i="2" s="1"/>
  <c r="AJ200" i="2" s="1"/>
  <c r="DU129" i="2"/>
  <c r="DU169" i="2" s="1"/>
  <c r="DU200" i="2" s="1"/>
  <c r="Q129" i="2"/>
  <c r="Q169" i="2" s="1"/>
  <c r="Q200" i="2" s="1"/>
  <c r="P129" i="2"/>
  <c r="P169" i="2" s="1"/>
  <c r="P200" i="2" s="1"/>
  <c r="DW129" i="2"/>
  <c r="DW169" i="2" s="1"/>
  <c r="DW200" i="2" s="1"/>
  <c r="DO129" i="2"/>
  <c r="DO169" i="2" s="1"/>
  <c r="DO200" i="2" s="1"/>
  <c r="CW129" i="2"/>
  <c r="CW169" i="2" s="1"/>
  <c r="CW200" i="2" s="1"/>
  <c r="AI129" i="2"/>
  <c r="AI169" i="2" s="1"/>
  <c r="AI200" i="2" s="1"/>
  <c r="CL129" i="2"/>
  <c r="CL169" i="2" s="1"/>
  <c r="CL200" i="2" s="1"/>
  <c r="N129" i="2"/>
  <c r="N169" i="2" s="1"/>
  <c r="N200" i="2" s="1"/>
  <c r="BH129" i="2"/>
  <c r="BH169" i="2" s="1"/>
  <c r="BH200" i="2" s="1"/>
  <c r="AU129" i="2"/>
  <c r="AU169" i="2" s="1"/>
  <c r="AU200" i="2" s="1"/>
  <c r="DT129" i="2"/>
  <c r="DT169" i="2" s="1"/>
  <c r="DT200" i="2" s="1"/>
  <c r="CR129" i="2"/>
  <c r="CR169" i="2" s="1"/>
  <c r="CR200" i="2" s="1"/>
  <c r="DR129" i="2"/>
  <c r="DR169" i="2" s="1"/>
  <c r="DR200" i="2" s="1"/>
  <c r="DD129" i="2"/>
  <c r="DD169" i="2" s="1"/>
  <c r="DD200" i="2" s="1"/>
  <c r="AF129" i="2"/>
  <c r="AF169" i="2" s="1"/>
  <c r="AF200" i="2" s="1"/>
  <c r="AD129" i="2"/>
  <c r="AD169" i="2" s="1"/>
  <c r="AD200" i="2" s="1"/>
  <c r="BG129" i="2"/>
  <c r="BG169" i="2" s="1"/>
  <c r="BG200" i="2" s="1"/>
  <c r="CM129" i="2"/>
  <c r="CM169" i="2" s="1"/>
  <c r="CM200" i="2" s="1"/>
  <c r="L129" i="2"/>
  <c r="L169" i="2" s="1"/>
  <c r="L200" i="2" s="1"/>
  <c r="AB129" i="2"/>
  <c r="AB169" i="2" s="1"/>
  <c r="AB200" i="2" s="1"/>
  <c r="H129" i="2"/>
  <c r="H169" i="2" s="1"/>
  <c r="H200" i="2" s="1"/>
  <c r="AG129" i="2"/>
  <c r="AG169" i="2" s="1"/>
  <c r="AG200" i="2" s="1"/>
  <c r="AZ129" i="2"/>
  <c r="AZ169" i="2" s="1"/>
  <c r="AZ200" i="2" s="1"/>
  <c r="BK129" i="2"/>
  <c r="BK169" i="2" s="1"/>
  <c r="BK200" i="2" s="1"/>
  <c r="DY129" i="2"/>
  <c r="DY169" i="2" s="1"/>
  <c r="DY200" i="2" s="1"/>
  <c r="DK129" i="2"/>
  <c r="DK169" i="2" s="1"/>
  <c r="DK200" i="2" s="1"/>
  <c r="O129" i="2"/>
  <c r="O169" i="2" s="1"/>
  <c r="O200" i="2" s="1"/>
  <c r="CH129" i="2"/>
  <c r="CH169" i="2" s="1"/>
  <c r="CH200" i="2" s="1"/>
  <c r="AT129" i="2"/>
  <c r="AT169" i="2" s="1"/>
  <c r="AT200" i="2" s="1"/>
  <c r="CN129" i="2"/>
  <c r="CN169" i="2" s="1"/>
  <c r="CN200" i="2" s="1"/>
  <c r="AL129" i="2"/>
  <c r="AL169" i="2" s="1"/>
  <c r="AL200" i="2" s="1"/>
  <c r="DN129" i="2"/>
  <c r="DN169" i="2" s="1"/>
  <c r="DN200" i="2" s="1"/>
  <c r="AM129" i="2"/>
  <c r="AM169" i="2" s="1"/>
  <c r="AM200" i="2" s="1"/>
  <c r="AS129" i="2"/>
  <c r="AS169" i="2" s="1"/>
  <c r="AS200" i="2" s="1"/>
  <c r="DQ129" i="2"/>
  <c r="DQ169" i="2" s="1"/>
  <c r="DQ200" i="2" s="1"/>
  <c r="CY129" i="2"/>
  <c r="CY169" i="2" s="1"/>
  <c r="CY200" i="2" s="1"/>
  <c r="DI129" i="2"/>
  <c r="DI169" i="2" s="1"/>
  <c r="DI200" i="2" s="1"/>
  <c r="CX129" i="2"/>
  <c r="CX169" i="2" s="1"/>
  <c r="CX200" i="2" s="1"/>
  <c r="BQ129" i="2"/>
  <c r="BQ169" i="2" s="1"/>
  <c r="BQ200" i="2" s="1"/>
  <c r="CP129" i="2"/>
  <c r="CP169" i="2" s="1"/>
  <c r="CP200" i="2" s="1"/>
  <c r="DF129" i="2"/>
  <c r="DF169" i="2" s="1"/>
  <c r="DF200" i="2" s="1"/>
  <c r="BP129" i="2"/>
  <c r="BP169" i="2" s="1"/>
  <c r="BP200" i="2" s="1"/>
  <c r="CV129" i="2"/>
  <c r="CV169" i="2" s="1"/>
  <c r="CV200" i="2" s="1"/>
  <c r="DP129" i="2"/>
  <c r="DP169" i="2" s="1"/>
  <c r="DP200" i="2" s="1"/>
  <c r="W129" i="2"/>
  <c r="W169" i="2" s="1"/>
  <c r="W200" i="2" s="1"/>
  <c r="BF129" i="2"/>
  <c r="BF169" i="2" s="1"/>
  <c r="BF200" i="2" s="1"/>
  <c r="CO129" i="2"/>
  <c r="CO169" i="2" s="1"/>
  <c r="CO200" i="2" s="1"/>
  <c r="I129" i="2"/>
  <c r="I169" i="2" s="1"/>
  <c r="I200" i="2" s="1"/>
  <c r="BE129" i="2"/>
  <c r="BE169" i="2" s="1"/>
  <c r="BE200" i="2" s="1"/>
  <c r="BN129" i="2"/>
  <c r="BN169" i="2" s="1"/>
  <c r="BN200" i="2" s="1"/>
  <c r="BD129" i="2"/>
  <c r="BD169" i="2" s="1"/>
  <c r="BD200" i="2" s="1"/>
  <c r="AR129" i="2"/>
  <c r="AR169" i="2" s="1"/>
  <c r="AR200" i="2" s="1"/>
  <c r="CQ129" i="2"/>
  <c r="CQ169" i="2" s="1"/>
  <c r="CQ200" i="2" s="1"/>
  <c r="DS129" i="2"/>
  <c r="DS169" i="2" s="1"/>
  <c r="DS200" i="2" s="1"/>
  <c r="AP129" i="2"/>
  <c r="AP169" i="2" s="1"/>
  <c r="AP200" i="2" s="1"/>
  <c r="F129" i="2"/>
  <c r="F169" i="2" s="1"/>
  <c r="F200" i="2" s="1"/>
  <c r="J129" i="2"/>
  <c r="J169" i="2" s="1"/>
  <c r="J200" i="2" s="1"/>
  <c r="E129" i="2"/>
  <c r="EB129" i="2"/>
  <c r="EB169" i="2" s="1"/>
  <c r="EB200" i="2" s="1"/>
  <c r="EC204" i="2"/>
  <c r="E169" i="2" l="1"/>
  <c r="EB70" i="2"/>
  <c r="EB78" i="2" s="1"/>
  <c r="EB81" i="2" s="1"/>
  <c r="E20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Giovanni Costa Rozan - Tecnisa</author>
  </authors>
  <commentList>
    <comment ref="B28" authorId="0" shapeId="0" xr:uid="{5D1029C1-E865-4A03-A863-83A52252A564}">
      <text>
        <r>
          <rPr>
            <sz val="9"/>
            <color indexed="81"/>
            <rFont val="Segoe UI"/>
            <family val="2"/>
          </rPr>
          <t>Anterior ao período do 1T21, os "Impostos a Recuperar" estavam incluídos em "Outras Contas a Receber"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Hamilton Barbosa Miyamoto - Tecnisa</author>
    <author>Armando Halfeld Campos - DRI</author>
  </authors>
  <commentList>
    <comment ref="AP20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Hamilton Barbosa Miyamoto - Tecnisa:</t>
        </r>
        <r>
          <rPr>
            <sz val="9"/>
            <color indexed="81"/>
            <rFont val="Segoe UI"/>
            <family val="2"/>
          </rPr>
          <t xml:space="preserve">
Desconsiderando 10 MM de Mega Bonus</t>
        </r>
      </text>
    </comment>
    <comment ref="AC35" authorId="1" shapeId="0" xr:uid="{00000000-0006-0000-0100-000002000000}">
      <text>
        <r>
          <rPr>
            <b/>
            <sz val="8"/>
            <color indexed="81"/>
            <rFont val="Tahoma"/>
            <family val="2"/>
          </rPr>
          <t>Armando Halfeld Campos - DRI:</t>
        </r>
        <r>
          <rPr>
            <sz val="8"/>
            <color indexed="81"/>
            <rFont val="Tahoma"/>
            <family val="2"/>
          </rPr>
          <t xml:space="preserve">
Descontado r$ 75mm do Itaici e R$ 51MM do Jacira Reis (torre 6 e 7)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<sst xmlns="http://schemas.openxmlformats.org/spreadsheetml/2006/main" count="2458" uniqueCount="810">
  <si>
    <t>4T15</t>
  </si>
  <si>
    <t>3T13</t>
  </si>
  <si>
    <t>3T15</t>
  </si>
  <si>
    <t>2T15</t>
  </si>
  <si>
    <t>1T15</t>
  </si>
  <si>
    <t>4T14</t>
  </si>
  <si>
    <t>3T14</t>
  </si>
  <si>
    <t>2T14</t>
  </si>
  <si>
    <t>1T14</t>
  </si>
  <si>
    <t>4T13</t>
  </si>
  <si>
    <t>2T13</t>
  </si>
  <si>
    <t>1T13</t>
  </si>
  <si>
    <t>4T12</t>
  </si>
  <si>
    <t>3T12</t>
  </si>
  <si>
    <t>2T12</t>
  </si>
  <si>
    <t>1T12</t>
  </si>
  <si>
    <t>4T11</t>
  </si>
  <si>
    <t>3T11</t>
  </si>
  <si>
    <t>2T11</t>
  </si>
  <si>
    <t>1T11</t>
  </si>
  <si>
    <t>(Redução) aumento nas disponibilidades e aplicações financeiras</t>
  </si>
  <si>
    <t>No fim do período</t>
  </si>
  <si>
    <t>No início do período</t>
  </si>
  <si>
    <t>Demonstração do aumento (redução) nas disponibilidades e aplicações financeiras</t>
  </si>
  <si>
    <t>(Redução) aumento nas disponibilidades</t>
  </si>
  <si>
    <t>Disponibilidades líquidas (aplicadas nas) geradas pelas atividades de financiamentos</t>
  </si>
  <si>
    <t>Fluxo de caixa das atividades de financiamentos</t>
  </si>
  <si>
    <t>Disponibilidades líquidas aplicadas nas atividades de investimentos</t>
  </si>
  <si>
    <t>Fluxo de caixa das atividades de investimentos</t>
  </si>
  <si>
    <t>Disponibilidades líquidas (aplicadas nas) geradas pelas atividades operacionais</t>
  </si>
  <si>
    <t>Diminuição (aumento) nas contas dos ativos e passivos</t>
  </si>
  <si>
    <t>Ajustes para reconciliar o lucro líquido com o caixa gerado pelas atividades operacionais</t>
  </si>
  <si>
    <t>Lucro (Prejuízo) líquido do período</t>
  </si>
  <si>
    <t>Fluxo de caixa das atividades operacionais</t>
  </si>
  <si>
    <t>Fluxo de Caixa</t>
  </si>
  <si>
    <t>Caixa e Equivalentes de Caixa</t>
  </si>
  <si>
    <t>Outras receitas (despesas) operacionais</t>
  </si>
  <si>
    <t>Lucro bruto</t>
  </si>
  <si>
    <t>Resultado operacional</t>
  </si>
  <si>
    <t>Lucro líquido do período</t>
  </si>
  <si>
    <t>Lucro líq. antes da partic. de minoritários</t>
  </si>
  <si>
    <t>Do exercício</t>
  </si>
  <si>
    <t>Diferido</t>
  </si>
  <si>
    <t>Imposto de renda e contribuição social</t>
  </si>
  <si>
    <t>Lucro antes de IR e CS</t>
  </si>
  <si>
    <t>Outras receitas (despesas) não operacionais</t>
  </si>
  <si>
    <t>Receitas financeiras</t>
  </si>
  <si>
    <t>Despesas financeiras</t>
  </si>
  <si>
    <t>Resultado Financeiro</t>
  </si>
  <si>
    <t>Equivalência Patrimonial</t>
  </si>
  <si>
    <t>Honorários da administração</t>
  </si>
  <si>
    <t>Gerais e administrativas</t>
  </si>
  <si>
    <t>Vendas</t>
  </si>
  <si>
    <t>Receitas (despesas) operacionais</t>
  </si>
  <si>
    <t>Custo dos serviços prestados</t>
  </si>
  <si>
    <t>Custo dos imóveis vendidos</t>
  </si>
  <si>
    <t>Custo das vendas e serviços</t>
  </si>
  <si>
    <t xml:space="preserve">Receita operacional líquida </t>
  </si>
  <si>
    <t>Impostos sobre as vendas</t>
  </si>
  <si>
    <t>Receita operacional bruta</t>
  </si>
  <si>
    <t>Receita de serviços prestados</t>
  </si>
  <si>
    <t>Receita de imóveis vendidos</t>
  </si>
  <si>
    <t>DRE Consolidado</t>
  </si>
  <si>
    <t>Check Ativo vs Passivo</t>
  </si>
  <si>
    <t>Total do passivo e PL</t>
  </si>
  <si>
    <t>Outros</t>
  </si>
  <si>
    <t>Ações em tesouraria</t>
  </si>
  <si>
    <t>Reservas de lucros</t>
  </si>
  <si>
    <t>Capital social</t>
  </si>
  <si>
    <t>Patrimônio líquido</t>
  </si>
  <si>
    <t>Acionistas não controladores</t>
  </si>
  <si>
    <t>Participação em consórcios</t>
  </si>
  <si>
    <t>Provisão para riscos</t>
  </si>
  <si>
    <t>Não circulante</t>
  </si>
  <si>
    <t>Aquisição de participação societária a pagar</t>
  </si>
  <si>
    <t>Provisão para IR e CS</t>
  </si>
  <si>
    <t>Impostos e contribuições a recolher</t>
  </si>
  <si>
    <t>Fornecedores</t>
  </si>
  <si>
    <t>Circulante</t>
  </si>
  <si>
    <t>Passivo</t>
  </si>
  <si>
    <t>Total do ativo</t>
  </si>
  <si>
    <t>Intangível</t>
  </si>
  <si>
    <t>Imobilizado</t>
  </si>
  <si>
    <t>Investimentos</t>
  </si>
  <si>
    <t>Permanente</t>
  </si>
  <si>
    <t>Participações em consórcios</t>
  </si>
  <si>
    <t>Realizável a longo prazo</t>
  </si>
  <si>
    <t>Impostos a recuperar</t>
  </si>
  <si>
    <t>Despesas pagas antecipadamente</t>
  </si>
  <si>
    <t>Ativo</t>
  </si>
  <si>
    <t>Balanço Patrimonial</t>
  </si>
  <si>
    <t>4T10</t>
  </si>
  <si>
    <t>3T10</t>
  </si>
  <si>
    <t>2T10</t>
  </si>
  <si>
    <t>1T10</t>
  </si>
  <si>
    <t>4T09</t>
  </si>
  <si>
    <t>3T09</t>
  </si>
  <si>
    <t>2T09</t>
  </si>
  <si>
    <t>1T09</t>
  </si>
  <si>
    <t>4T08</t>
  </si>
  <si>
    <t>3T08</t>
  </si>
  <si>
    <t>2T08</t>
  </si>
  <si>
    <t>1T08</t>
  </si>
  <si>
    <t>4T07</t>
  </si>
  <si>
    <t>3T07</t>
  </si>
  <si>
    <t>2T07</t>
  </si>
  <si>
    <t>1T07</t>
  </si>
  <si>
    <t>Trimestre</t>
  </si>
  <si>
    <t>PR</t>
  </si>
  <si>
    <t>GO</t>
  </si>
  <si>
    <t>CE</t>
  </si>
  <si>
    <t>DF</t>
  </si>
  <si>
    <t>BA</t>
  </si>
  <si>
    <t>AM</t>
  </si>
  <si>
    <t>Landbank (R$ milhões) - % TECNISA</t>
  </si>
  <si>
    <t>Landbank (R$ milhões) - 100%</t>
  </si>
  <si>
    <t>Landbank</t>
  </si>
  <si>
    <t>VGV em estoque (R$ mil) - % TECNISA</t>
  </si>
  <si>
    <t>VGV em estoque (R$ mil) - 100%</t>
  </si>
  <si>
    <t>Área útil em estoque (m²)</t>
  </si>
  <si>
    <t>Unidades em estoque</t>
  </si>
  <si>
    <t>Estoque a Valor de Mercado</t>
  </si>
  <si>
    <t>Vendas contratadas (R$ mil) - % TECNISA</t>
  </si>
  <si>
    <t>Vendas contratadas (R$ mil) - 100%</t>
  </si>
  <si>
    <t>Área útil comercializada (m²)</t>
  </si>
  <si>
    <t>Unidades vendidas</t>
  </si>
  <si>
    <t>Vendas Contratadas</t>
  </si>
  <si>
    <t>Preço médio de lançamento (R$/m²)</t>
  </si>
  <si>
    <t>VGV lançado (R$ mil) - % TECNISA</t>
  </si>
  <si>
    <t>VGV lançado (R$ mil) - 100%</t>
  </si>
  <si>
    <t>Área útil lançada (m²)</t>
  </si>
  <si>
    <t>Unidades lançadas</t>
  </si>
  <si>
    <t>Empreendimentos lançados</t>
  </si>
  <si>
    <t>Lançamentos</t>
  </si>
  <si>
    <t>Premium</t>
  </si>
  <si>
    <t>SP</t>
  </si>
  <si>
    <t>336-2</t>
  </si>
  <si>
    <t>Flex</t>
  </si>
  <si>
    <t>Levitá</t>
  </si>
  <si>
    <t>Voxy Ipiranga</t>
  </si>
  <si>
    <t>334-1</t>
  </si>
  <si>
    <t>193-2</t>
  </si>
  <si>
    <t>JDP - Recanto Jacarandá</t>
  </si>
  <si>
    <t>209-2</t>
  </si>
  <si>
    <t>Novo Centro</t>
  </si>
  <si>
    <t>193-1</t>
  </si>
  <si>
    <t>192-1</t>
  </si>
  <si>
    <t>345-2</t>
  </si>
  <si>
    <t>279-4</t>
  </si>
  <si>
    <t>The Five</t>
  </si>
  <si>
    <t>It's 163</t>
  </si>
  <si>
    <t>209-1</t>
  </si>
  <si>
    <t>279-3</t>
  </si>
  <si>
    <t>345-1</t>
  </si>
  <si>
    <t>Wizz</t>
  </si>
  <si>
    <t>279-2</t>
  </si>
  <si>
    <t>279-1</t>
  </si>
  <si>
    <t>D\ Office</t>
  </si>
  <si>
    <t>Flex Jundiaí II - Jundiaí</t>
  </si>
  <si>
    <t>Equilíbrio - Curitiba</t>
  </si>
  <si>
    <t>Vista Verde - Panamby</t>
  </si>
  <si>
    <t>Flex Jundiaí</t>
  </si>
  <si>
    <t>198-2</t>
  </si>
  <si>
    <t>198-1</t>
  </si>
  <si>
    <t>New Worker Tower - Barueri</t>
  </si>
  <si>
    <t>258-2</t>
  </si>
  <si>
    <t>Mandara Kauai</t>
  </si>
  <si>
    <t>346-2</t>
  </si>
  <si>
    <t>346-1</t>
  </si>
  <si>
    <t>336-1</t>
  </si>
  <si>
    <t>HUB</t>
  </si>
  <si>
    <t>L'UNE</t>
  </si>
  <si>
    <t>Flex Paulicéia</t>
  </si>
  <si>
    <t>258-3</t>
  </si>
  <si>
    <t>258-1</t>
  </si>
  <si>
    <t>Acqua Av. das Torres</t>
  </si>
  <si>
    <t>City Centro Civico</t>
  </si>
  <si>
    <t>Quintessence</t>
  </si>
  <si>
    <t>244-2</t>
  </si>
  <si>
    <t>Gama Santana</t>
  </si>
  <si>
    <t>Tasty Panamby</t>
  </si>
  <si>
    <t>Flex Tapajós</t>
  </si>
  <si>
    <t>197-2</t>
  </si>
  <si>
    <t>139-3</t>
  </si>
  <si>
    <t>139-2</t>
  </si>
  <si>
    <t>139-1</t>
  </si>
  <si>
    <t>241-3</t>
  </si>
  <si>
    <t>241-2</t>
  </si>
  <si>
    <t>236-3</t>
  </si>
  <si>
    <t>236-2</t>
  </si>
  <si>
    <t>244-1</t>
  </si>
  <si>
    <t>Moai</t>
  </si>
  <si>
    <t>236-1</t>
  </si>
  <si>
    <t>241-1</t>
  </si>
  <si>
    <t>241-P</t>
  </si>
  <si>
    <t>Sólon Vila Rosália</t>
  </si>
  <si>
    <t>Flex Carapicuiba IV</t>
  </si>
  <si>
    <t>222-2</t>
  </si>
  <si>
    <t>222-1</t>
  </si>
  <si>
    <t>197-1</t>
  </si>
  <si>
    <t>210-2</t>
  </si>
  <si>
    <t>210-1</t>
  </si>
  <si>
    <t>Artefatto</t>
  </si>
  <si>
    <t>238-3</t>
  </si>
  <si>
    <t>238-2</t>
  </si>
  <si>
    <t>238-1</t>
  </si>
  <si>
    <t>Blend</t>
  </si>
  <si>
    <t>Flex Carapicuiba III</t>
  </si>
  <si>
    <t>142-2</t>
  </si>
  <si>
    <t>Art Life - Design</t>
  </si>
  <si>
    <t>Bossa Nova</t>
  </si>
  <si>
    <t>138-3</t>
  </si>
  <si>
    <t>Flex Diadema</t>
  </si>
  <si>
    <t>Flex Carapicuiba II</t>
  </si>
  <si>
    <t>Flex Manoel da Nóbrega</t>
  </si>
  <si>
    <t>New Worker Tower - S. J. dos Campos</t>
  </si>
  <si>
    <t>138-2</t>
  </si>
  <si>
    <t>Bonjour</t>
  </si>
  <si>
    <t>Flex Carapicuiba I</t>
  </si>
  <si>
    <t>215-2</t>
  </si>
  <si>
    <t>182-3</t>
  </si>
  <si>
    <t>138-1</t>
  </si>
  <si>
    <t>151-2</t>
  </si>
  <si>
    <t>Vila Arboreto</t>
  </si>
  <si>
    <t>215-1</t>
  </si>
  <si>
    <t>182-2</t>
  </si>
  <si>
    <t>151-1</t>
  </si>
  <si>
    <t>195-2</t>
  </si>
  <si>
    <t>Diamond</t>
  </si>
  <si>
    <t>Landscape</t>
  </si>
  <si>
    <t>195-1</t>
  </si>
  <si>
    <t>Vila Nova Reserved</t>
  </si>
  <si>
    <t>Reserva Jardim Sul</t>
  </si>
  <si>
    <t>182-1</t>
  </si>
  <si>
    <t>Supremo</t>
  </si>
  <si>
    <t>Summer</t>
  </si>
  <si>
    <t>Art Life Graúna</t>
  </si>
  <si>
    <t>Águas Claras</t>
  </si>
  <si>
    <t>Serenità</t>
  </si>
  <si>
    <t>142-1</t>
  </si>
  <si>
    <t>165-1</t>
  </si>
  <si>
    <t>Porto Seguro</t>
  </si>
  <si>
    <t>Art Life  Bem Te Vi</t>
  </si>
  <si>
    <t>Alto da Mata</t>
  </si>
  <si>
    <t>Criare</t>
  </si>
  <si>
    <t>River Park</t>
  </si>
  <si>
    <t>Summit</t>
  </si>
  <si>
    <t>Iandê</t>
  </si>
  <si>
    <t>Boulevard Santana</t>
  </si>
  <si>
    <t>Ilha Mariana</t>
  </si>
  <si>
    <t>Square</t>
  </si>
  <si>
    <t>Scene</t>
  </si>
  <si>
    <t>Airy</t>
  </si>
  <si>
    <t>Aquarius</t>
  </si>
  <si>
    <t>Maison Ephigênio Salles</t>
  </si>
  <si>
    <t>Manaus</t>
  </si>
  <si>
    <t>UP Jaguaré</t>
  </si>
  <si>
    <t>Monte Y Sierra</t>
  </si>
  <si>
    <t>Único Campolim</t>
  </si>
  <si>
    <t>Costa do Sol</t>
  </si>
  <si>
    <t>Arcadia</t>
  </si>
  <si>
    <t>Viverde</t>
  </si>
  <si>
    <t>Les Jardins</t>
  </si>
  <si>
    <t>Auri</t>
  </si>
  <si>
    <t>Sollo</t>
  </si>
  <si>
    <t>Futura Club</t>
  </si>
  <si>
    <t>Inovarte</t>
  </si>
  <si>
    <t>113-2</t>
  </si>
  <si>
    <t>New Worker Tower</t>
  </si>
  <si>
    <t>113-1</t>
  </si>
  <si>
    <t>New Jazz</t>
  </si>
  <si>
    <t>Change</t>
  </si>
  <si>
    <t>% TECNISA</t>
  </si>
  <si>
    <t>TT Un.</t>
  </si>
  <si>
    <t>Estado</t>
  </si>
  <si>
    <t>Ano</t>
  </si>
  <si>
    <t>Choice</t>
  </si>
  <si>
    <t>111-2</t>
  </si>
  <si>
    <t>Trimestre Habite-se</t>
  </si>
  <si>
    <t>Trimestre Inst. Cond</t>
  </si>
  <si>
    <t>Segmento</t>
  </si>
  <si>
    <t>TT Area Útil</t>
  </si>
  <si>
    <t>VGV TECNISA (R$ Milhões)</t>
  </si>
  <si>
    <t>VGV Total 
(R$ milhões)</t>
  </si>
  <si>
    <t>Empreendimento</t>
  </si>
  <si>
    <t>Trim.</t>
  </si>
  <si>
    <t>Line</t>
  </si>
  <si>
    <t>Inspira Business</t>
  </si>
  <si>
    <t>Villa das Flores - Margarida</t>
  </si>
  <si>
    <t>165-2</t>
  </si>
  <si>
    <t>165-3</t>
  </si>
  <si>
    <t>165-4</t>
  </si>
  <si>
    <t>Villa das Flores - Rosas</t>
  </si>
  <si>
    <t>Silva Jardins</t>
  </si>
  <si>
    <t>261-1</t>
  </si>
  <si>
    <t>261-2</t>
  </si>
  <si>
    <t>326-1</t>
  </si>
  <si>
    <t>216-1</t>
  </si>
  <si>
    <t>192-2</t>
  </si>
  <si>
    <t>334-2</t>
  </si>
  <si>
    <t>Consolidação Integral</t>
  </si>
  <si>
    <t>Lauro de Freitas</t>
  </si>
  <si>
    <t>Método Contabilização</t>
  </si>
  <si>
    <t>São Paulo</t>
  </si>
  <si>
    <t xml:space="preserve">São Bernardo do Campo </t>
  </si>
  <si>
    <t>Cidade</t>
  </si>
  <si>
    <t>Sorocaba</t>
  </si>
  <si>
    <t>Praia Grande</t>
  </si>
  <si>
    <t>Goiânia</t>
  </si>
  <si>
    <t>São José dos Campos</t>
  </si>
  <si>
    <t>Mogi das Cruzes</t>
  </si>
  <si>
    <t>Guarulhos</t>
  </si>
  <si>
    <t>Barueri</t>
  </si>
  <si>
    <t>Cotia</t>
  </si>
  <si>
    <t>Jundiaí</t>
  </si>
  <si>
    <t>Santos</t>
  </si>
  <si>
    <t>Fortaleza</t>
  </si>
  <si>
    <t>Salvador</t>
  </si>
  <si>
    <t>Suzano</t>
  </si>
  <si>
    <t>Curitiba</t>
  </si>
  <si>
    <t>Carapicuíba</t>
  </si>
  <si>
    <t>Diadema</t>
  </si>
  <si>
    <t>Taguatinga</t>
  </si>
  <si>
    <t>Aquiraz</t>
  </si>
  <si>
    <t>Osasco</t>
  </si>
  <si>
    <t>Gama</t>
  </si>
  <si>
    <t>Status</t>
  </si>
  <si>
    <t>1T12*</t>
  </si>
  <si>
    <t>2T12*</t>
  </si>
  <si>
    <t>3T12*</t>
  </si>
  <si>
    <t>4T12*</t>
  </si>
  <si>
    <t>Resultado abrangente</t>
  </si>
  <si>
    <t>279-5</t>
  </si>
  <si>
    <t>209-3</t>
  </si>
  <si>
    <t>209-4</t>
  </si>
  <si>
    <t>213-1</t>
  </si>
  <si>
    <t>213-2</t>
  </si>
  <si>
    <t>216-2</t>
  </si>
  <si>
    <t>JDP - Time (Residencial)</t>
  </si>
  <si>
    <t>JDP - Time (Office)</t>
  </si>
  <si>
    <t>184-1</t>
  </si>
  <si>
    <t>184-2</t>
  </si>
  <si>
    <t>184-3</t>
  </si>
  <si>
    <t>Lucro antes do imposto de renda e contribuição social</t>
  </si>
  <si>
    <t>Juros pagos</t>
  </si>
  <si>
    <t>Selfie Cabral</t>
  </si>
  <si>
    <t>209-5</t>
  </si>
  <si>
    <t>Loteamento</t>
  </si>
  <si>
    <t>0</t>
  </si>
  <si>
    <t>Vendas Brutas (R$ mil) - % TECNISA</t>
  </si>
  <si>
    <t>Vendas Brutas (R$ mil) - 100%</t>
  </si>
  <si>
    <t>Distratos (R$ mil) - % TECNISA</t>
  </si>
  <si>
    <t>Distratos (R$ mil) - 100%</t>
  </si>
  <si>
    <t>Participação de acionistas não controladores em controladas</t>
  </si>
  <si>
    <t>209-6</t>
  </si>
  <si>
    <t>1T16</t>
  </si>
  <si>
    <t>2T16</t>
  </si>
  <si>
    <t>3T16</t>
  </si>
  <si>
    <t>4T16</t>
  </si>
  <si>
    <t>Unidades Distratadas</t>
  </si>
  <si>
    <t>Arruda Botelho II - Alto de Pinheiros</t>
  </si>
  <si>
    <t>326-2</t>
  </si>
  <si>
    <t>213-3</t>
  </si>
  <si>
    <t>Flex Santana</t>
  </si>
  <si>
    <t>Buona Vita</t>
  </si>
  <si>
    <t>Atibaia</t>
  </si>
  <si>
    <t>JDP - Torre Corporativa</t>
  </si>
  <si>
    <t>Desconsolidação de investida por venda de participação societária</t>
  </si>
  <si>
    <t>1T17</t>
  </si>
  <si>
    <t>2T17</t>
  </si>
  <si>
    <t>209-C</t>
  </si>
  <si>
    <t>227a</t>
  </si>
  <si>
    <t>3T17</t>
  </si>
  <si>
    <t>4T17</t>
  </si>
  <si>
    <t>1T18</t>
  </si>
  <si>
    <t>2T18</t>
  </si>
  <si>
    <t>3T18</t>
  </si>
  <si>
    <t>4T18</t>
  </si>
  <si>
    <t>1T19</t>
  </si>
  <si>
    <t>Entregue</t>
  </si>
  <si>
    <t>Balance Sheet</t>
  </si>
  <si>
    <t>Assets</t>
  </si>
  <si>
    <t>Current assets</t>
  </si>
  <si>
    <t>Cash and cash equivalents</t>
  </si>
  <si>
    <t>Financial assets</t>
  </si>
  <si>
    <t>Trade accounts receivable</t>
  </si>
  <si>
    <t>Properties for sale</t>
  </si>
  <si>
    <t>Prepaid expenses</t>
  </si>
  <si>
    <t>Taxes and contributions receivable</t>
  </si>
  <si>
    <t>Other receivables</t>
  </si>
  <si>
    <t>Noncurrent assets</t>
  </si>
  <si>
    <t>Related parties</t>
  </si>
  <si>
    <t>Business partners</t>
  </si>
  <si>
    <t xml:space="preserve">Interest in consortia </t>
  </si>
  <si>
    <t>Permanent assets</t>
  </si>
  <si>
    <t>Investments</t>
  </si>
  <si>
    <t>Property, plant and equipment</t>
  </si>
  <si>
    <t>Intangible assets</t>
  </si>
  <si>
    <t>Total assets</t>
  </si>
  <si>
    <t>Liabilities</t>
  </si>
  <si>
    <t>Current liabilities</t>
  </si>
  <si>
    <t>Loans and financing</t>
  </si>
  <si>
    <t>Suppliers</t>
  </si>
  <si>
    <t>Taxes and contributions payable</t>
  </si>
  <si>
    <t>Payroll and related taxes</t>
  </si>
  <si>
    <t>Payables for land acquisition</t>
  </si>
  <si>
    <t>Dividends payable</t>
  </si>
  <si>
    <t>Advances from customers</t>
  </si>
  <si>
    <t>Provision for income tax and social contribution</t>
  </si>
  <si>
    <t>Deferred taxes</t>
  </si>
  <si>
    <t>Acquisition of equity interest payable</t>
  </si>
  <si>
    <t>Provisions for warranty</t>
  </si>
  <si>
    <t>Other accounts payable</t>
  </si>
  <si>
    <t>Noncurrent liabilities</t>
  </si>
  <si>
    <t>Provisions for risks</t>
  </si>
  <si>
    <t>Noncontrolling interests in subsidiaries</t>
  </si>
  <si>
    <t>Equity</t>
  </si>
  <si>
    <t>Capital</t>
  </si>
  <si>
    <t>Earnings reserve</t>
  </si>
  <si>
    <t>Treasury shares</t>
  </si>
  <si>
    <t>Earnings (deficit) reserve</t>
  </si>
  <si>
    <t>Losses of the period</t>
  </si>
  <si>
    <t>Others</t>
  </si>
  <si>
    <t>Total liabilities and equity</t>
  </si>
  <si>
    <t>Income Statement</t>
  </si>
  <si>
    <t>Revenue from real estate sold</t>
  </si>
  <si>
    <t>Revenue from services rendered</t>
  </si>
  <si>
    <t>Gross operating revenues</t>
  </si>
  <si>
    <t>Taxes on sales</t>
  </si>
  <si>
    <t>Net operating revenues</t>
  </si>
  <si>
    <t>Cost of sales and services</t>
  </si>
  <si>
    <t>Cost of real estate sold</t>
  </si>
  <si>
    <t>Cost of services rendered</t>
  </si>
  <si>
    <t>Gross income</t>
  </si>
  <si>
    <t>Operating revenues (expenses)</t>
  </si>
  <si>
    <t>Selling</t>
  </si>
  <si>
    <t>General and administrative</t>
  </si>
  <si>
    <t>Management fee</t>
  </si>
  <si>
    <t>Equity in subsidiaries</t>
  </si>
  <si>
    <t>Other operating revenues (expenses)</t>
  </si>
  <si>
    <t>Financial result</t>
  </si>
  <si>
    <t>Financial expenses</t>
  </si>
  <si>
    <t>Financial revenues</t>
  </si>
  <si>
    <t>Operating result</t>
  </si>
  <si>
    <t>Other non-operating revenues (expenses)</t>
  </si>
  <si>
    <t>Net income before income and social contribution taxes</t>
  </si>
  <si>
    <t>Income tax and social contribution</t>
  </si>
  <si>
    <t>Deferred</t>
  </si>
  <si>
    <t>Current</t>
  </si>
  <si>
    <t>Net income before minority interest</t>
  </si>
  <si>
    <t>Minority interest</t>
  </si>
  <si>
    <t>Net income in the period</t>
  </si>
  <si>
    <t>Cash Flow</t>
  </si>
  <si>
    <t>Cash flows from operating activities</t>
  </si>
  <si>
    <t>Net income (loss) of the period</t>
  </si>
  <si>
    <t>Adjustments to reconcile net income to net cash provided by operating activities</t>
  </si>
  <si>
    <t>Depreciation</t>
  </si>
  <si>
    <t>Amortization of goodwill and negative goodwill (net)</t>
  </si>
  <si>
    <t>Write-off of property and equipment / intangible assets</t>
  </si>
  <si>
    <t>Equity in subisidiaries</t>
  </si>
  <si>
    <t>Share-based compensation</t>
  </si>
  <si>
    <t>Interest and financial charges (net)</t>
  </si>
  <si>
    <t>Deferred income and social contribution taxes</t>
  </si>
  <si>
    <t>Provisions</t>
  </si>
  <si>
    <t>Fair value remeasurement of investments</t>
  </si>
  <si>
    <t>Amortization of fair value remeasurement of investments</t>
  </si>
  <si>
    <t>Capital increase subscribed with proposed dividends</t>
  </si>
  <si>
    <t xml:space="preserve">Purchase / Sale of equity interest </t>
  </si>
  <si>
    <t>Decrease (increase) in Assets and Liabilities</t>
  </si>
  <si>
    <t>Securities</t>
  </si>
  <si>
    <t>Sundry credits</t>
  </si>
  <si>
    <t>Real estate for sale</t>
  </si>
  <si>
    <t>Prepayments</t>
  </si>
  <si>
    <t>Taxes recoverable</t>
  </si>
  <si>
    <t xml:space="preserve">Other receivables </t>
  </si>
  <si>
    <t>Investments in consortiums</t>
  </si>
  <si>
    <t>Taxes, contributions and salaries</t>
  </si>
  <si>
    <t>Current income and social contribution taxes</t>
  </si>
  <si>
    <t>Accounts payable from purchases of real estate</t>
  </si>
  <si>
    <t>Deferred taxes on sales</t>
  </si>
  <si>
    <t>Dividends received</t>
  </si>
  <si>
    <t>Other payables</t>
  </si>
  <si>
    <t>Net cash (used in) generated by operating activities</t>
  </si>
  <si>
    <t>Cash flows from investment activities</t>
  </si>
  <si>
    <t>Purchases of property and equipament</t>
  </si>
  <si>
    <t>Increase (decrease) in investments</t>
  </si>
  <si>
    <t>Effect of the adjustments deriving from the adoption of Law 11.638/07</t>
  </si>
  <si>
    <t>Net  Cash (used in) generated by investment activities</t>
  </si>
  <si>
    <t>Cash flows from financing activities</t>
  </si>
  <si>
    <t>Capital increase, net of expenses with share issue</t>
  </si>
  <si>
    <t>Dividends paid</t>
  </si>
  <si>
    <t>Treasury shares acquired</t>
  </si>
  <si>
    <t>Stock option program</t>
  </si>
  <si>
    <t>Comprehensive income</t>
  </si>
  <si>
    <t>Net change in loans and financing</t>
  </si>
  <si>
    <t>Interest paid</t>
  </si>
  <si>
    <t>De-consolidation of investee by sale of equity interest</t>
  </si>
  <si>
    <t>Effect from changes in equity invested in cash and cash equivalents</t>
  </si>
  <si>
    <t>Non-controlling interest in subsidiaries</t>
  </si>
  <si>
    <t>Net cash  (used in) generated by financing activities</t>
  </si>
  <si>
    <t>(Decrease) Increase in cash and cash equivalents</t>
  </si>
  <si>
    <t>Increase (Decrease) in cash, cash equivalents and securities</t>
  </si>
  <si>
    <t>At the begining of the period</t>
  </si>
  <si>
    <t>At the end of the period</t>
  </si>
  <si>
    <t>(Decrease) Increase in Cash and Marketable Securities</t>
  </si>
  <si>
    <t>Quarter</t>
  </si>
  <si>
    <t>Launches</t>
  </si>
  <si>
    <t>Developments launched</t>
  </si>
  <si>
    <t>Units launched</t>
  </si>
  <si>
    <t>Private area launched (m²)</t>
  </si>
  <si>
    <t>PSV launched (R$ '000) - 100%</t>
  </si>
  <si>
    <t>PSV launched (R$ '000) - % TECNISA</t>
  </si>
  <si>
    <t>Average launching price (R$/m²)</t>
  </si>
  <si>
    <t>Contracted Sales</t>
  </si>
  <si>
    <t>Units sold</t>
  </si>
  <si>
    <t>Private area sold (m²)</t>
  </si>
  <si>
    <t>Contracted sales (R$ '000) - 100%</t>
  </si>
  <si>
    <t>Contracted sales (R$ '000) - % TECNISA</t>
  </si>
  <si>
    <t>Units Cancelled</t>
  </si>
  <si>
    <t>Cancellations 100%</t>
  </si>
  <si>
    <t>Cancellations - % TECNISA</t>
  </si>
  <si>
    <t>Gross sales (R$ '000) - 100%</t>
  </si>
  <si>
    <t>Gross sales (R$'000) - % TECNISA</t>
  </si>
  <si>
    <t>Inventory at Market Value</t>
  </si>
  <si>
    <t>Units in inventory</t>
  </si>
  <si>
    <t>Private area in inventory (m²)</t>
  </si>
  <si>
    <t>PSV in inventory (R$ '000) - 100%</t>
  </si>
  <si>
    <t>PSV in inventory (R$ '000) - % TECNISA</t>
  </si>
  <si>
    <t>Landbank (R$ million) - 100%</t>
  </si>
  <si>
    <t>Landbank (R$ million) - % TECNISA</t>
  </si>
  <si>
    <t>2T19</t>
  </si>
  <si>
    <t>1S07</t>
  </si>
  <si>
    <t>9M07</t>
  </si>
  <si>
    <t>1S08</t>
  </si>
  <si>
    <t>9M08</t>
  </si>
  <si>
    <t>1S09</t>
  </si>
  <si>
    <t>9M09</t>
  </si>
  <si>
    <t>1S10</t>
  </si>
  <si>
    <t>9M10</t>
  </si>
  <si>
    <t>1S11</t>
  </si>
  <si>
    <t>9M11</t>
  </si>
  <si>
    <t>1S12</t>
  </si>
  <si>
    <t>9M12</t>
  </si>
  <si>
    <t>1S13</t>
  </si>
  <si>
    <t>9M13</t>
  </si>
  <si>
    <t>1S14</t>
  </si>
  <si>
    <t>9M14</t>
  </si>
  <si>
    <t>1S15</t>
  </si>
  <si>
    <t>9M15</t>
  </si>
  <si>
    <t>1S16</t>
  </si>
  <si>
    <t>9M16</t>
  </si>
  <si>
    <t>1S17</t>
  </si>
  <si>
    <t>9M17</t>
  </si>
  <si>
    <t>1S18</t>
  </si>
  <si>
    <t>9M18</t>
  </si>
  <si>
    <t>1S19</t>
  </si>
  <si>
    <t>Araribá Home Resort</t>
  </si>
  <si>
    <t>384-1</t>
  </si>
  <si>
    <t>Jardim Vista Bella</t>
  </si>
  <si>
    <t>384-2</t>
  </si>
  <si>
    <r>
      <t>Títulos e Valores Mobiliários</t>
    </r>
    <r>
      <rPr>
        <sz val="10"/>
        <color theme="0"/>
        <rFont val="Calibri"/>
        <family val="2"/>
      </rPr>
      <t xml:space="preserve"> - CP</t>
    </r>
  </si>
  <si>
    <r>
      <t>Contas a receber de clientes</t>
    </r>
    <r>
      <rPr>
        <sz val="10"/>
        <color theme="0"/>
        <rFont val="Calibri"/>
        <family val="2"/>
      </rPr>
      <t xml:space="preserve"> - CP</t>
    </r>
  </si>
  <si>
    <r>
      <t>Imóveis a comercializar</t>
    </r>
    <r>
      <rPr>
        <sz val="10"/>
        <color theme="0"/>
        <rFont val="Calibri"/>
        <family val="2"/>
      </rPr>
      <t xml:space="preserve"> - CP</t>
    </r>
  </si>
  <si>
    <r>
      <t>Títulos e valores mobiliários</t>
    </r>
    <r>
      <rPr>
        <sz val="10"/>
        <color theme="0"/>
        <rFont val="Calibri"/>
        <family val="2"/>
      </rPr>
      <t xml:space="preserve"> - LP</t>
    </r>
  </si>
  <si>
    <r>
      <t>Contas a receber de clientes</t>
    </r>
    <r>
      <rPr>
        <sz val="10"/>
        <color theme="0"/>
        <rFont val="Calibri"/>
        <family val="2"/>
      </rPr>
      <t xml:space="preserve"> - LP</t>
    </r>
  </si>
  <si>
    <r>
      <t>Imóveis a comercializar</t>
    </r>
    <r>
      <rPr>
        <sz val="10"/>
        <color theme="0"/>
        <rFont val="Calibri"/>
        <family val="2"/>
      </rPr>
      <t xml:space="preserve"> - LP</t>
    </r>
  </si>
  <si>
    <r>
      <t>Partes Relacionadas</t>
    </r>
    <r>
      <rPr>
        <sz val="10"/>
        <color theme="0"/>
        <rFont val="Calibri"/>
        <family val="2"/>
      </rPr>
      <t xml:space="preserve"> - AT</t>
    </r>
  </si>
  <si>
    <r>
      <t>Parceiro em Negócios</t>
    </r>
    <r>
      <rPr>
        <sz val="10"/>
        <color theme="0"/>
        <rFont val="Calibri"/>
        <family val="2"/>
      </rPr>
      <t xml:space="preserve"> - AT</t>
    </r>
  </si>
  <si>
    <r>
      <t>Outras contas a receber</t>
    </r>
    <r>
      <rPr>
        <sz val="10"/>
        <color theme="0"/>
        <rFont val="Calibri"/>
        <family val="2"/>
      </rPr>
      <t xml:space="preserve"> - LP</t>
    </r>
  </si>
  <si>
    <r>
      <t>Empréstimos e financiamentos</t>
    </r>
    <r>
      <rPr>
        <sz val="10"/>
        <color theme="0"/>
        <rFont val="Calibri"/>
        <family val="2"/>
      </rPr>
      <t xml:space="preserve"> - CP</t>
    </r>
  </si>
  <si>
    <r>
      <t>Contas a pagar por aquisição de imóveis</t>
    </r>
    <r>
      <rPr>
        <sz val="10"/>
        <color theme="0"/>
        <rFont val="Calibri"/>
        <family val="2"/>
      </rPr>
      <t xml:space="preserve"> - CP</t>
    </r>
  </si>
  <si>
    <r>
      <t>Dividendos propostos</t>
    </r>
    <r>
      <rPr>
        <sz val="10"/>
        <color theme="0"/>
        <rFont val="Calibri"/>
        <family val="2"/>
      </rPr>
      <t xml:space="preserve"> - CP</t>
    </r>
  </si>
  <si>
    <r>
      <t>Partes Relacionadas</t>
    </r>
    <r>
      <rPr>
        <sz val="10"/>
        <color theme="0"/>
        <rFont val="Calibri"/>
        <family val="2"/>
      </rPr>
      <t xml:space="preserve"> - PS</t>
    </r>
  </si>
  <si>
    <r>
      <t>Parceiro em Negócios</t>
    </r>
    <r>
      <rPr>
        <sz val="10"/>
        <color theme="0"/>
        <rFont val="Calibri"/>
        <family val="2"/>
      </rPr>
      <t xml:space="preserve"> - PS</t>
    </r>
  </si>
  <si>
    <r>
      <t>Adiantamento de clientes</t>
    </r>
    <r>
      <rPr>
        <sz val="10"/>
        <color theme="0"/>
        <rFont val="Calibri"/>
        <family val="2"/>
      </rPr>
      <t xml:space="preserve"> - CP</t>
    </r>
  </si>
  <si>
    <r>
      <t>Impostos e contribuições diferidos</t>
    </r>
    <r>
      <rPr>
        <sz val="10"/>
        <color theme="0"/>
        <rFont val="Calibri"/>
        <family val="2"/>
      </rPr>
      <t xml:space="preserve"> - CP</t>
    </r>
  </si>
  <si>
    <r>
      <t>Provisão para garantias</t>
    </r>
    <r>
      <rPr>
        <sz val="10"/>
        <color theme="0"/>
        <rFont val="Calibri"/>
        <family val="2"/>
      </rPr>
      <t xml:space="preserve"> - CP</t>
    </r>
  </si>
  <si>
    <r>
      <t>Outras contas a pagar</t>
    </r>
    <r>
      <rPr>
        <sz val="10"/>
        <color theme="0"/>
        <rFont val="Calibri"/>
        <family val="2"/>
      </rPr>
      <t xml:space="preserve"> - CP</t>
    </r>
  </si>
  <si>
    <r>
      <t>Empréstimos e financiamentos</t>
    </r>
    <r>
      <rPr>
        <sz val="10"/>
        <color theme="0"/>
        <rFont val="Calibri"/>
        <family val="2"/>
      </rPr>
      <t xml:space="preserve"> - LP</t>
    </r>
  </si>
  <si>
    <r>
      <t>Adiantamento de clientes</t>
    </r>
    <r>
      <rPr>
        <sz val="10"/>
        <color theme="0"/>
        <rFont val="Calibri"/>
        <family val="2"/>
      </rPr>
      <t xml:space="preserve"> - LP</t>
    </r>
  </si>
  <si>
    <r>
      <t>Contas a pagar por aquisição de imóveis</t>
    </r>
    <r>
      <rPr>
        <sz val="10"/>
        <color theme="0"/>
        <rFont val="Calibri"/>
        <family val="2"/>
      </rPr>
      <t xml:space="preserve"> - LP</t>
    </r>
  </si>
  <si>
    <r>
      <t>Provisão para garantias</t>
    </r>
    <r>
      <rPr>
        <sz val="10"/>
        <color theme="0"/>
        <rFont val="Calibri"/>
        <family val="2"/>
      </rPr>
      <t xml:space="preserve"> - LP</t>
    </r>
  </si>
  <si>
    <r>
      <t>Impostos e contribuições diferidos</t>
    </r>
    <r>
      <rPr>
        <sz val="10"/>
        <color theme="0"/>
        <rFont val="Calibri"/>
        <family val="2"/>
      </rPr>
      <t xml:space="preserve"> - LP</t>
    </r>
  </si>
  <si>
    <r>
      <t>Outras contas a pagar</t>
    </r>
    <r>
      <rPr>
        <sz val="10"/>
        <color theme="0"/>
        <rFont val="Calibri"/>
        <family val="2"/>
      </rPr>
      <t xml:space="preserve"> - LP</t>
    </r>
  </si>
  <si>
    <r>
      <t>Participação de minoritários</t>
    </r>
    <r>
      <rPr>
        <sz val="10"/>
        <color theme="0"/>
        <rFont val="Calibri"/>
        <family val="2"/>
      </rPr>
      <t xml:space="preserve"> - DRE</t>
    </r>
  </si>
  <si>
    <r>
      <t>Depreciação</t>
    </r>
    <r>
      <rPr>
        <sz val="10"/>
        <color theme="0"/>
        <rFont val="Calibri"/>
        <family val="2"/>
      </rPr>
      <t xml:space="preserve"> - FCX</t>
    </r>
  </si>
  <si>
    <r>
      <t>Baixa de imobilizado / intangível</t>
    </r>
    <r>
      <rPr>
        <sz val="10"/>
        <color theme="0"/>
        <rFont val="Calibri"/>
        <family val="2"/>
      </rPr>
      <t xml:space="preserve"> - FCX</t>
    </r>
  </si>
  <si>
    <r>
      <t>Equivalência patrimonial</t>
    </r>
    <r>
      <rPr>
        <sz val="10"/>
        <color rgb="FFFFFFFF"/>
        <rFont val="Calibri"/>
        <family val="2"/>
      </rPr>
      <t xml:space="preserve"> - FCX</t>
    </r>
  </si>
  <si>
    <r>
      <t>Remuneração baseada em acões</t>
    </r>
    <r>
      <rPr>
        <sz val="10"/>
        <color theme="0"/>
        <rFont val="Calibri"/>
        <family val="2"/>
      </rPr>
      <t xml:space="preserve"> - FCX</t>
    </r>
  </si>
  <si>
    <r>
      <t>Juros e encargos financeiros liquidos</t>
    </r>
    <r>
      <rPr>
        <sz val="10"/>
        <color theme="0"/>
        <rFont val="Calibri"/>
        <family val="2"/>
      </rPr>
      <t xml:space="preserve"> - FCX</t>
    </r>
  </si>
  <si>
    <r>
      <t>Provisões</t>
    </r>
    <r>
      <rPr>
        <sz val="10"/>
        <color theme="0"/>
        <rFont val="Calibri"/>
        <family val="2"/>
      </rPr>
      <t xml:space="preserve"> - FCX</t>
    </r>
  </si>
  <si>
    <r>
      <t>Remensuração de investimento</t>
    </r>
    <r>
      <rPr>
        <sz val="10"/>
        <color theme="0"/>
        <rFont val="Calibri"/>
        <family val="2"/>
      </rPr>
      <t xml:space="preserve"> - FCX</t>
    </r>
  </si>
  <si>
    <r>
      <t>Amortização de remensuração de investimento</t>
    </r>
    <r>
      <rPr>
        <sz val="10"/>
        <color theme="0"/>
        <rFont val="Calibri"/>
        <family val="2"/>
      </rPr>
      <t xml:space="preserve"> - FCX</t>
    </r>
  </si>
  <si>
    <r>
      <t>Participações minoritárias</t>
    </r>
    <r>
      <rPr>
        <sz val="10"/>
        <color theme="0"/>
        <rFont val="Calibri"/>
        <family val="2"/>
      </rPr>
      <t xml:space="preserve"> - FCX</t>
    </r>
  </si>
  <si>
    <r>
      <t>Contas a receber</t>
    </r>
    <r>
      <rPr>
        <sz val="10"/>
        <color theme="0"/>
        <rFont val="Calibri"/>
        <family val="2"/>
      </rPr>
      <t xml:space="preserve"> - FCX</t>
    </r>
  </si>
  <si>
    <r>
      <t>Títulos e valores mobiliários</t>
    </r>
    <r>
      <rPr>
        <sz val="10"/>
        <color theme="0"/>
        <rFont val="Calibri"/>
        <family val="2"/>
      </rPr>
      <t xml:space="preserve"> - FCX</t>
    </r>
  </si>
  <si>
    <r>
      <t>Créditos diversos</t>
    </r>
    <r>
      <rPr>
        <sz val="10"/>
        <color theme="0"/>
        <rFont val="Calibri"/>
        <family val="2"/>
      </rPr>
      <t xml:space="preserve"> - FCX</t>
    </r>
  </si>
  <si>
    <r>
      <t>Imóveis a comercializar</t>
    </r>
    <r>
      <rPr>
        <sz val="10"/>
        <color theme="0"/>
        <rFont val="Calibri"/>
        <family val="2"/>
      </rPr>
      <t xml:space="preserve"> - FCX</t>
    </r>
  </si>
  <si>
    <r>
      <t>Despesas pagas antecipadamente</t>
    </r>
    <r>
      <rPr>
        <sz val="10"/>
        <color theme="0"/>
        <rFont val="Calibri"/>
        <family val="2"/>
      </rPr>
      <t xml:space="preserve"> - FCX</t>
    </r>
  </si>
  <si>
    <r>
      <t>Impostos a recuperar</t>
    </r>
    <r>
      <rPr>
        <sz val="10"/>
        <color theme="0"/>
        <rFont val="Calibri"/>
        <family val="2"/>
      </rPr>
      <t xml:space="preserve"> - FCX</t>
    </r>
  </si>
  <si>
    <r>
      <t>Outras contas a receber</t>
    </r>
    <r>
      <rPr>
        <sz val="10"/>
        <color theme="0"/>
        <rFont val="Calibri"/>
        <family val="2"/>
      </rPr>
      <t xml:space="preserve"> - FCX</t>
    </r>
  </si>
  <si>
    <r>
      <t>Partes relacionadas</t>
    </r>
    <r>
      <rPr>
        <sz val="10"/>
        <color theme="0"/>
        <rFont val="Calibri"/>
        <family val="2"/>
      </rPr>
      <t xml:space="preserve"> - FCX</t>
    </r>
  </si>
  <si>
    <r>
      <t>Participações em consórcios</t>
    </r>
    <r>
      <rPr>
        <sz val="10"/>
        <color theme="0"/>
        <rFont val="Calibri"/>
        <family val="2"/>
      </rPr>
      <t xml:space="preserve"> - FCX</t>
    </r>
  </si>
  <si>
    <r>
      <t>Fornecedores</t>
    </r>
    <r>
      <rPr>
        <sz val="10"/>
        <color theme="0"/>
        <rFont val="Calibri"/>
        <family val="2"/>
      </rPr>
      <t xml:space="preserve"> - FCX</t>
    </r>
  </si>
  <si>
    <r>
      <t>Impostos, contribuições e salários</t>
    </r>
    <r>
      <rPr>
        <sz val="10"/>
        <color theme="0"/>
        <rFont val="Calibri"/>
        <family val="2"/>
      </rPr>
      <t xml:space="preserve"> - FCX</t>
    </r>
  </si>
  <si>
    <r>
      <t>Imposto de renda e contribuição social corrente</t>
    </r>
    <r>
      <rPr>
        <sz val="10"/>
        <color theme="0"/>
        <rFont val="Calibri"/>
        <family val="2"/>
      </rPr>
      <t xml:space="preserve"> - FCX</t>
    </r>
  </si>
  <si>
    <r>
      <t>Adiantamento de clientes</t>
    </r>
    <r>
      <rPr>
        <sz val="10"/>
        <color theme="0"/>
        <rFont val="Calibri"/>
        <family val="2"/>
      </rPr>
      <t xml:space="preserve"> - FCX</t>
    </r>
  </si>
  <si>
    <r>
      <t>Contas a pagar por aquisição de imóveis</t>
    </r>
    <r>
      <rPr>
        <sz val="10"/>
        <color theme="0"/>
        <rFont val="Calibri"/>
        <family val="2"/>
      </rPr>
      <t xml:space="preserve"> - FCX</t>
    </r>
  </si>
  <si>
    <r>
      <t>Impostos sobre vendas diferidos</t>
    </r>
    <r>
      <rPr>
        <sz val="10"/>
        <color theme="0"/>
        <rFont val="Calibri"/>
        <family val="2"/>
      </rPr>
      <t xml:space="preserve"> - FCX</t>
    </r>
  </si>
  <si>
    <r>
      <t>Aquisições de participação societária</t>
    </r>
    <r>
      <rPr>
        <sz val="10"/>
        <color theme="0"/>
        <rFont val="Calibri"/>
        <family val="2"/>
      </rPr>
      <t xml:space="preserve"> - FCX</t>
    </r>
  </si>
  <si>
    <r>
      <t>Outras contas a pagar</t>
    </r>
    <r>
      <rPr>
        <sz val="10"/>
        <color theme="0"/>
        <rFont val="Calibri"/>
        <family val="2"/>
      </rPr>
      <t xml:space="preserve"> - FCX</t>
    </r>
  </si>
  <si>
    <r>
      <t>Intangível</t>
    </r>
    <r>
      <rPr>
        <sz val="10"/>
        <color theme="0"/>
        <rFont val="Calibri"/>
        <family val="2"/>
      </rPr>
      <t xml:space="preserve"> - FCX</t>
    </r>
  </si>
  <si>
    <r>
      <t>Compras de imobilizado</t>
    </r>
    <r>
      <rPr>
        <sz val="10"/>
        <color theme="0"/>
        <rFont val="Calibri"/>
        <family val="2"/>
      </rPr>
      <t xml:space="preserve"> - FCX</t>
    </r>
  </si>
  <si>
    <r>
      <t>Aumento (redução) dos investimentos</t>
    </r>
    <r>
      <rPr>
        <sz val="10"/>
        <color theme="0"/>
        <rFont val="Calibri"/>
        <family val="2"/>
      </rPr>
      <t xml:space="preserve"> - FCX</t>
    </r>
  </si>
  <si>
    <r>
      <t>Efeito ajustes decorrentes Lei 11.638/07</t>
    </r>
    <r>
      <rPr>
        <sz val="10"/>
        <color theme="0"/>
        <rFont val="Calibri"/>
        <family val="2"/>
      </rPr>
      <t xml:space="preserve"> - FCX</t>
    </r>
  </si>
  <si>
    <r>
      <t>Aumento do capital social, líquido dos gastos com emissão de ações</t>
    </r>
    <r>
      <rPr>
        <sz val="10"/>
        <color theme="0"/>
        <rFont val="Calibri"/>
        <family val="2"/>
      </rPr>
      <t xml:space="preserve"> - FCX</t>
    </r>
  </si>
  <si>
    <r>
      <t>Distribuição de dividendos</t>
    </r>
    <r>
      <rPr>
        <sz val="10"/>
        <color theme="0"/>
        <rFont val="Calibri"/>
        <family val="2"/>
      </rPr>
      <t xml:space="preserve"> - FCX</t>
    </r>
  </si>
  <si>
    <r>
      <t>Ações em tesouraria adquiridas</t>
    </r>
    <r>
      <rPr>
        <sz val="10"/>
        <color theme="0"/>
        <rFont val="Calibri"/>
        <family val="2"/>
      </rPr>
      <t xml:space="preserve"> - FCX</t>
    </r>
  </si>
  <si>
    <r>
      <t>Programa de pagamento em ações - stock option</t>
    </r>
    <r>
      <rPr>
        <sz val="10"/>
        <color theme="0"/>
        <rFont val="Calibri"/>
        <family val="2"/>
      </rPr>
      <t xml:space="preserve"> - FCX</t>
    </r>
  </si>
  <si>
    <r>
      <t>Variação líquida dos empréstimos tomados</t>
    </r>
    <r>
      <rPr>
        <sz val="10"/>
        <color theme="0"/>
        <rFont val="Calibri"/>
        <family val="2"/>
      </rPr>
      <t xml:space="preserve"> - FCX</t>
    </r>
  </si>
  <si>
    <t>3T19</t>
  </si>
  <si>
    <t>9M19</t>
  </si>
  <si>
    <r>
      <t>Amortização de ágios / software (líquido)</t>
    </r>
    <r>
      <rPr>
        <sz val="10"/>
        <color theme="0"/>
        <rFont val="Calibri"/>
        <family val="2"/>
      </rPr>
      <t xml:space="preserve"> - FCX</t>
    </r>
  </si>
  <si>
    <t>4T19</t>
  </si>
  <si>
    <t>Salários a pagar e encargos a recolher - LP</t>
  </si>
  <si>
    <t>Rendimento de títulos e valores mobiliários não resgatados</t>
  </si>
  <si>
    <t>Income from bonds and securities not redeemed</t>
  </si>
  <si>
    <t>Aquisição participação societária</t>
  </si>
  <si>
    <t>Acquisition of equity interest</t>
  </si>
  <si>
    <t>Caixa líquido gerado na venda de participação societária</t>
  </si>
  <si>
    <t>Net cash generated from the sale of equity interest</t>
  </si>
  <si>
    <t>Dividendos recebidos - INV</t>
  </si>
  <si>
    <t>Efeito das mudanças de participações em investidas no caixa e equivalentes - INV</t>
  </si>
  <si>
    <t>Dividendos recebidos - OP</t>
  </si>
  <si>
    <t>Houx Pinheiros</t>
  </si>
  <si>
    <t>1T20</t>
  </si>
  <si>
    <t>384-3</t>
  </si>
  <si>
    <t>2T20</t>
  </si>
  <si>
    <t>1S20</t>
  </si>
  <si>
    <t>3T20</t>
  </si>
  <si>
    <t>9M20</t>
  </si>
  <si>
    <t>4T20</t>
  </si>
  <si>
    <t>Auguri Mooca</t>
  </si>
  <si>
    <t>W/L Vila Romana</t>
  </si>
  <si>
    <t>1T21</t>
  </si>
  <si>
    <t>Provisão para plano de incentivo a longo prazo - CP</t>
  </si>
  <si>
    <t>Provision for Long Term Incentive Plan - ST</t>
  </si>
  <si>
    <t>2T21</t>
  </si>
  <si>
    <t>1S21</t>
  </si>
  <si>
    <t>HighLights Campo Belo</t>
  </si>
  <si>
    <t>Adjustment to present value</t>
  </si>
  <si>
    <t>3T21</t>
  </si>
  <si>
    <t>HighLights Dr. Nelson Moretti</t>
  </si>
  <si>
    <t>Condomínio Florear</t>
  </si>
  <si>
    <t>4T21</t>
  </si>
  <si>
    <t>9M21</t>
  </si>
  <si>
    <t>Highlights Pinheiros</t>
  </si>
  <si>
    <t>UNIK</t>
  </si>
  <si>
    <t>1T22</t>
  </si>
  <si>
    <t>2T22</t>
  </si>
  <si>
    <t>Impostos a recuperar - LP</t>
  </si>
  <si>
    <t>1S22</t>
  </si>
  <si>
    <t>Última atualização em:</t>
  </si>
  <si>
    <t>Language</t>
  </si>
  <si>
    <t>PT</t>
  </si>
  <si>
    <t>Planilha Interativa</t>
  </si>
  <si>
    <t>Linguagem:</t>
  </si>
  <si>
    <t>Last update on</t>
  </si>
  <si>
    <t>Código do Empreendimento</t>
  </si>
  <si>
    <t>Interactive Spreadsheet</t>
  </si>
  <si>
    <t>Em Obra</t>
  </si>
  <si>
    <t>Piazza San Pietro (2)</t>
  </si>
  <si>
    <t>Verdanna (1)</t>
  </si>
  <si>
    <t>Verdanna (2)</t>
  </si>
  <si>
    <t>Verdanna (3)</t>
  </si>
  <si>
    <t>Verdanna (4)</t>
  </si>
  <si>
    <t>Premiere (1)</t>
  </si>
  <si>
    <t>Acqua Play - Home &amp; Resort (1)</t>
  </si>
  <si>
    <t>Art Life Acqua Village (1)</t>
  </si>
  <si>
    <t>Art Life Acqua Village (2)</t>
  </si>
  <si>
    <t>Vila Nova Paisagem (1)</t>
  </si>
  <si>
    <t>Acqua Play - Home &amp; Resort (2)</t>
  </si>
  <si>
    <t>Vila Nova Horizonte (1)</t>
  </si>
  <si>
    <t>Vila Nova Paisagem (2)</t>
  </si>
  <si>
    <t>Bosques da Vila  (1)</t>
  </si>
  <si>
    <t>Acqua Play - Home &amp; Resort (3)</t>
  </si>
  <si>
    <t>Vila Nova Horizonte (2)</t>
  </si>
  <si>
    <t>Bosques da Vila  (2)</t>
  </si>
  <si>
    <t>Bosques da Vila  (3)</t>
  </si>
  <si>
    <t>Premiere (2)</t>
  </si>
  <si>
    <t>Taguá Life Center (2)</t>
  </si>
  <si>
    <t>Taguá Life Center (3)</t>
  </si>
  <si>
    <t>Taguá Life Center (1)</t>
  </si>
  <si>
    <t>Mandara Lanai (1)</t>
  </si>
  <si>
    <t>Mandara Lanai (2)</t>
  </si>
  <si>
    <t>Mandara Lanai (3)</t>
  </si>
  <si>
    <t>Flex Suzano (1)</t>
  </si>
  <si>
    <t>Flex Suzano (2)</t>
  </si>
  <si>
    <t>Reserva do Alto (1)</t>
  </si>
  <si>
    <t>Flex Guarulhos (1)</t>
  </si>
  <si>
    <t>Flex Guarulhos (2)</t>
  </si>
  <si>
    <t>Flex Accanto (4)</t>
  </si>
  <si>
    <t>Flex Accanto (2)</t>
  </si>
  <si>
    <t>Wi (1)</t>
  </si>
  <si>
    <t>Único Mogi (1)</t>
  </si>
  <si>
    <t>Wi (2)</t>
  </si>
  <si>
    <t>Wi (3)</t>
  </si>
  <si>
    <t>Flex Accanto (1)</t>
  </si>
  <si>
    <t>Flex Accanto (3)</t>
  </si>
  <si>
    <t>Flex Osasco (1)</t>
  </si>
  <si>
    <t>Flex Osasco (2)</t>
  </si>
  <si>
    <t>Flex Osasco (3)</t>
  </si>
  <si>
    <t>Reserva do Alto (2)</t>
  </si>
  <si>
    <t>Único Mogi (2)</t>
  </si>
  <si>
    <t>Flex Gama (1)</t>
  </si>
  <si>
    <t>Flex Gama (3)</t>
  </si>
  <si>
    <t>Le Boulevard (1)</t>
  </si>
  <si>
    <t>Le Boulevard (2)</t>
  </si>
  <si>
    <t>Flex Mogi (1)</t>
  </si>
  <si>
    <t>Flex Mogi (2)</t>
  </si>
  <si>
    <t>Flex Gama (2)</t>
  </si>
  <si>
    <t>Flex Parque Dez (1)</t>
  </si>
  <si>
    <t>Flex Parque Dez (2)</t>
  </si>
  <si>
    <t>Flex Imigrantes (1)</t>
  </si>
  <si>
    <t>Flex Imigrantes (2)</t>
  </si>
  <si>
    <t>Máximo Mogi (1)</t>
  </si>
  <si>
    <t>Flex Imigrantes (3)</t>
  </si>
  <si>
    <t>Flex Osasco II (1)</t>
  </si>
  <si>
    <t>Flex Imigrantes (4)</t>
  </si>
  <si>
    <t>Máximo Mogi (2)</t>
  </si>
  <si>
    <t>Flex Tatuapé (1)</t>
  </si>
  <si>
    <t>Flex Tatuapé (2)</t>
  </si>
  <si>
    <t>JDP - Reserva Manacá (1)</t>
  </si>
  <si>
    <t>JDP - Bosque Jequitibá (1)</t>
  </si>
  <si>
    <t>Flex Osasco II (2)</t>
  </si>
  <si>
    <t>JDP - Bosque Jequitibá (2)</t>
  </si>
  <si>
    <t>JDP - Bosque Araucária (1)</t>
  </si>
  <si>
    <t>JDP - Reserva Manacá (2)</t>
  </si>
  <si>
    <t>JDP - Bosque Araucária (2)</t>
  </si>
  <si>
    <t>Dolce Villa (1)</t>
  </si>
  <si>
    <t>Flex Sacomã (1)</t>
  </si>
  <si>
    <t>Flex Imigrantes (5)</t>
  </si>
  <si>
    <t>Flex Osasco II (3)</t>
  </si>
  <si>
    <t>Flex Osasco II (4)</t>
  </si>
  <si>
    <t>Flex Sacomã (2)</t>
  </si>
  <si>
    <t>Dolce Villa (2)</t>
  </si>
  <si>
    <t>Flex Osasco II (5)</t>
  </si>
  <si>
    <t>Flex Osasco II (6)</t>
  </si>
  <si>
    <t>Flex Osasco II (7)</t>
  </si>
  <si>
    <t>JDP - Time</t>
  </si>
  <si>
    <t>Jardim Botânico (1)</t>
  </si>
  <si>
    <t>Jardim Botânico (2)</t>
  </si>
  <si>
    <t>3T22</t>
  </si>
  <si>
    <t>9M22</t>
  </si>
  <si>
    <t>Impostos e contribuições diferidos - FCX</t>
  </si>
  <si>
    <t>Astral Saúde</t>
  </si>
  <si>
    <t>Bosque Pitangueiras</t>
  </si>
  <si>
    <t>4T22</t>
  </si>
  <si>
    <t>Reserva Figueiras</t>
  </si>
  <si>
    <t>Kalea Jardins</t>
  </si>
  <si>
    <t>Pagamentos de processos para riscos</t>
  </si>
  <si>
    <t>Pagamento de garantias</t>
  </si>
  <si>
    <t>Risk Liabilities paid</t>
  </si>
  <si>
    <t>Warranty paid</t>
  </si>
  <si>
    <t>1T23</t>
  </si>
  <si>
    <t>1S23</t>
  </si>
  <si>
    <t>9M23</t>
  </si>
  <si>
    <t>2T23</t>
  </si>
  <si>
    <t>Provisão para plano de incentivo a longo prazo - LP</t>
  </si>
  <si>
    <t>3T23</t>
  </si>
  <si>
    <t>4T23</t>
  </si>
  <si>
    <t>1T24</t>
  </si>
  <si>
    <t>Ganho acordos judiciais - FCX</t>
  </si>
  <si>
    <t>1S24</t>
  </si>
  <si>
    <t>9M24</t>
  </si>
  <si>
    <t>Recanto Oliveiras</t>
  </si>
  <si>
    <t>2T24</t>
  </si>
  <si>
    <t>Bosque Cerejeiras</t>
  </si>
  <si>
    <t>3T24</t>
  </si>
  <si>
    <t>Reserva Flamboyant</t>
  </si>
  <si>
    <t>4T24</t>
  </si>
  <si>
    <t>Outras contas a receber - CP</t>
  </si>
  <si>
    <t>Créditos diversos - CP</t>
  </si>
  <si>
    <t>Related parties CA</t>
  </si>
  <si>
    <t>Salários a pagar e encargos a recolher - CP</t>
  </si>
  <si>
    <t>Prejuízos acumulados</t>
  </si>
  <si>
    <t>Lucros (Prejuízos) do período</t>
  </si>
  <si>
    <t>Aumento do capital social com dividendos propostos - FCX</t>
  </si>
  <si>
    <t>Compra e Venda de participação societária - FCX</t>
  </si>
  <si>
    <t>Ajuste a valor presente - FCX</t>
  </si>
  <si>
    <t>Propriedade para investimento</t>
  </si>
  <si>
    <t>Property for investment</t>
  </si>
  <si>
    <t>1T25</t>
  </si>
  <si>
    <t>1S25</t>
  </si>
  <si>
    <t>9M25</t>
  </si>
  <si>
    <t>2T25</t>
  </si>
  <si>
    <t>3T25</t>
  </si>
  <si>
    <t>4T25</t>
  </si>
  <si>
    <t>Dividendos a receber - CP</t>
  </si>
  <si>
    <t>Dividendos a receber - LP</t>
  </si>
  <si>
    <t>tencasa</t>
  </si>
  <si>
    <t>Mais Vila Andrade</t>
  </si>
  <si>
    <t>Tencasa</t>
  </si>
  <si>
    <t>Meu Plano &amp; Interlagos - Fase 1</t>
  </si>
  <si>
    <t>Meu Plano &amp; Interlagos - Fase 2</t>
  </si>
  <si>
    <t>Zait Chácara Santo Antônio</t>
  </si>
  <si>
    <t>Naara</t>
  </si>
  <si>
    <t>Naara Higienópolis</t>
  </si>
  <si>
    <t>Premium - Senior living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</si>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</sst>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0.0%"/>
    <numFmt numFmtId="168" formatCode="0.000%"/>
    <numFmt numFmtId="169" formatCode="[$-F800]dddd\,\ mmmm\ dd\,\ yyyy"/>
    <numFmt numFmtId="170" formatCode="_(* #,##0.00000_);_(* \(#,##0.00000\);_(* &quot;-&quot;??_);_(@_)"/>
    <numFmt numFmtId="171" formatCode="#,##0_)\ &quot;m²&quot;;\(#,##0\)\ &quot;m²&quot;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 tint="0.249977111117893"/>
      <name val="Calibri"/>
      <family val="2"/>
    </font>
    <font>
      <i/>
      <sz val="10"/>
      <color theme="1" tint="0.249977111117893"/>
      <name val="Calibri"/>
      <family val="2"/>
    </font>
    <font>
      <b/>
      <sz val="10"/>
      <color theme="1" tint="0.249977111117893"/>
      <name val="Calibr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sz val="12"/>
      <color theme="4"/>
      <name val="Calibri"/>
      <family val="2"/>
    </font>
    <font>
      <sz val="10"/>
      <color theme="0"/>
      <name val="Calibri"/>
      <family val="2"/>
    </font>
    <font>
      <i/>
      <sz val="10"/>
      <color theme="0" tint="-0.499984740745262"/>
      <name val="Calibri"/>
      <family val="2"/>
    </font>
    <font>
      <sz val="14"/>
      <color theme="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 tint="0.249977111117893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2"/>
      <color theme="4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0"/>
      <color theme="0" tint="-0.249977111117893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color theme="1" tint="0.249977111117893"/>
      <name val="Calibri"/>
      <family val="2"/>
    </font>
    <font>
      <u/>
      <sz val="10"/>
      <color theme="1" tint="0.249977111117893"/>
      <name val="Calibri"/>
      <family val="2"/>
      <scheme val="minor"/>
    </font>
    <font>
      <sz val="10"/>
      <color theme="0" tint="-0.34998626667073579"/>
      <name val="Calibri"/>
      <family val="2"/>
    </font>
    <font>
      <sz val="14"/>
      <color theme="0" tint="-0.34998626667073579"/>
      <name val="Calibri"/>
      <family val="2"/>
    </font>
    <font>
      <sz val="12"/>
      <color theme="0" tint="-0.34998626667073579"/>
      <name val="Calibri"/>
      <family val="2"/>
    </font>
    <font>
      <b/>
      <sz val="10"/>
      <color theme="0" tint="-0.34998626667073579"/>
      <name val="Calibri"/>
      <family val="2"/>
    </font>
    <font>
      <sz val="10"/>
      <color theme="0" tint="-0.34998626667073579"/>
      <name val="Calibri"/>
      <family val="2"/>
      <scheme val="minor"/>
    </font>
    <font>
      <i/>
      <sz val="10"/>
      <color theme="2" tint="-9.9978637043366805E-2"/>
      <name val="Calibri"/>
      <family val="2"/>
      <scheme val="minor"/>
    </font>
    <font>
      <i/>
      <sz val="10"/>
      <color theme="0" tint="-0.34998626667073579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0" tint="-0.249977111117893"/>
      <name val="Calibri"/>
      <family val="2"/>
    </font>
    <font>
      <sz val="10"/>
      <color rgb="FFFFFFFF"/>
      <name val="Calibri"/>
      <family val="2"/>
    </font>
    <font>
      <b/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00000"/>
      <name val="Calibri"/>
      <family val="2"/>
    </font>
    <font>
      <b/>
      <sz val="14"/>
      <color rgb="FFC00000"/>
      <name val="Calibri"/>
      <family val="2"/>
    </font>
    <font>
      <sz val="14"/>
      <color rgb="FFC00000"/>
      <name val="Calibri"/>
      <family val="2"/>
    </font>
    <font>
      <sz val="14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sz val="10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2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22"/>
      </top>
      <bottom style="medium">
        <color theme="0" tint="-0.499984740745262"/>
      </bottom>
      <diagonal/>
    </border>
    <border>
      <left/>
      <right/>
      <top style="thin">
        <color indexed="22"/>
      </top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/>
      <bottom style="thin">
        <color indexed="22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medium">
        <color rgb="FFC00000"/>
      </top>
      <bottom/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169" fontId="8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0" fontId="35" fillId="0" borderId="0"/>
    <xf numFmtId="43" fontId="35" fillId="0" borderId="0" quotePrefix="1" applyFont="0" applyFill="0" applyBorder="0" applyAlignment="0">
      <protection locked="0"/>
    </xf>
    <xf numFmtId="43" fontId="8" fillId="0" borderId="0" applyFont="0" applyFill="0" applyBorder="0" applyAlignment="0" applyProtection="0"/>
    <xf numFmtId="0" fontId="36" fillId="0" borderId="0"/>
  </cellStyleXfs>
  <cellXfs count="2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indent="1"/>
    </xf>
    <xf numFmtId="166" fontId="4" fillId="0" borderId="3" xfId="0" applyNumberFormat="1" applyFont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 vertical="center" wrapText="1"/>
    </xf>
    <xf numFmtId="0" fontId="7" fillId="0" borderId="0" xfId="0" applyFont="1"/>
    <xf numFmtId="0" fontId="9" fillId="0" borderId="0" xfId="2" applyFont="1"/>
    <xf numFmtId="166" fontId="6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indent="1"/>
    </xf>
    <xf numFmtId="0" fontId="4" fillId="0" borderId="0" xfId="2" applyFont="1" applyAlignment="1">
      <alignment horizontal="right"/>
    </xf>
    <xf numFmtId="0" fontId="6" fillId="0" borderId="0" xfId="2" applyFont="1"/>
    <xf numFmtId="166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indent="1"/>
    </xf>
    <xf numFmtId="0" fontId="4" fillId="0" borderId="8" xfId="2" applyFont="1" applyBorder="1" applyAlignment="1">
      <alignment horizontal="right"/>
    </xf>
    <xf numFmtId="0" fontId="6" fillId="0" borderId="8" xfId="2" applyFont="1" applyBorder="1"/>
    <xf numFmtId="166" fontId="4" fillId="0" borderId="0" xfId="0" applyNumberFormat="1" applyFont="1" applyAlignment="1">
      <alignment horizontal="right" vertical="center" wrapText="1"/>
    </xf>
    <xf numFmtId="14" fontId="4" fillId="0" borderId="0" xfId="2" applyNumberFormat="1" applyFont="1" applyAlignment="1">
      <alignment horizontal="right" vertical="center"/>
    </xf>
    <xf numFmtId="0" fontId="6" fillId="0" borderId="0" xfId="2" applyFont="1" applyAlignment="1">
      <alignment horizontal="left" vertical="center"/>
    </xf>
    <xf numFmtId="41" fontId="4" fillId="0" borderId="0" xfId="2" applyNumberFormat="1" applyFont="1" applyAlignment="1">
      <alignment horizontal="right" wrapText="1"/>
    </xf>
    <xf numFmtId="0" fontId="6" fillId="0" borderId="0" xfId="2" applyFont="1" applyAlignment="1">
      <alignment horizontal="left" indent="1"/>
    </xf>
    <xf numFmtId="166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indent="2"/>
    </xf>
    <xf numFmtId="41" fontId="4" fillId="0" borderId="0" xfId="3" applyNumberFormat="1" applyFont="1" applyFill="1" applyBorder="1" applyAlignment="1">
      <alignment horizontal="right" wrapText="1"/>
    </xf>
    <xf numFmtId="166" fontId="4" fillId="0" borderId="0" xfId="3" applyNumberFormat="1" applyFont="1" applyFill="1" applyBorder="1" applyAlignment="1">
      <alignment vertical="center"/>
    </xf>
    <xf numFmtId="38" fontId="6" fillId="0" borderId="0" xfId="2" applyNumberFormat="1" applyFont="1" applyAlignment="1">
      <alignment horizontal="left" vertical="center" indent="1"/>
    </xf>
    <xf numFmtId="0" fontId="6" fillId="0" borderId="0" xfId="0" applyFont="1" applyAlignment="1">
      <alignment horizontal="left" vertical="center" wrapText="1" indent="1"/>
    </xf>
    <xf numFmtId="0" fontId="10" fillId="0" borderId="0" xfId="0" applyFont="1"/>
    <xf numFmtId="0" fontId="6" fillId="0" borderId="1" xfId="0" applyFont="1" applyBorder="1" applyAlignment="1">
      <alignment horizontal="left" vertical="center" indent="1"/>
    </xf>
    <xf numFmtId="167" fontId="2" fillId="0" borderId="0" xfId="0" applyNumberFormat="1" applyFont="1"/>
    <xf numFmtId="166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indent="1"/>
    </xf>
    <xf numFmtId="167" fontId="6" fillId="0" borderId="0" xfId="1" applyNumberFormat="1" applyFont="1" applyFill="1" applyBorder="1" applyAlignment="1">
      <alignment horizontal="right" vertical="center" wrapText="1"/>
    </xf>
    <xf numFmtId="166" fontId="4" fillId="0" borderId="10" xfId="0" applyNumberFormat="1" applyFont="1" applyBorder="1" applyAlignment="1">
      <alignment horizontal="right" vertical="center" wrapText="1"/>
    </xf>
    <xf numFmtId="166" fontId="2" fillId="0" borderId="0" xfId="0" applyNumberFormat="1" applyFont="1"/>
    <xf numFmtId="0" fontId="6" fillId="0" borderId="12" xfId="0" applyFont="1" applyBorder="1" applyAlignment="1">
      <alignment horizontal="left" vertical="center" indent="1"/>
    </xf>
    <xf numFmtId="166" fontId="5" fillId="0" borderId="2" xfId="0" applyNumberFormat="1" applyFont="1" applyBorder="1" applyAlignment="1">
      <alignment horizontal="right" vertical="center" wrapText="1"/>
    </xf>
    <xf numFmtId="166" fontId="4" fillId="0" borderId="9" xfId="0" applyNumberFormat="1" applyFont="1" applyBorder="1" applyAlignment="1">
      <alignment horizontal="right" vertical="center" wrapText="1"/>
    </xf>
    <xf numFmtId="166" fontId="5" fillId="0" borderId="10" xfId="0" applyNumberFormat="1" applyFont="1" applyBorder="1" applyAlignment="1">
      <alignment horizontal="right" vertical="center" wrapText="1"/>
    </xf>
    <xf numFmtId="166" fontId="6" fillId="0" borderId="2" xfId="0" applyNumberFormat="1" applyFont="1" applyBorder="1" applyAlignment="1">
      <alignment horizontal="right" vertical="center" wrapText="1"/>
    </xf>
    <xf numFmtId="166" fontId="5" fillId="0" borderId="1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indent="1"/>
    </xf>
    <xf numFmtId="166" fontId="6" fillId="0" borderId="10" xfId="0" applyNumberFormat="1" applyFont="1" applyBorder="1" applyAlignment="1">
      <alignment horizontal="right" vertical="center" wrapText="1"/>
    </xf>
    <xf numFmtId="2" fontId="4" fillId="0" borderId="0" xfId="0" applyNumberFormat="1" applyFont="1"/>
    <xf numFmtId="166" fontId="4" fillId="0" borderId="14" xfId="0" applyNumberFormat="1" applyFont="1" applyBorder="1" applyAlignment="1">
      <alignment horizontal="right" vertical="center" wrapText="1"/>
    </xf>
    <xf numFmtId="166" fontId="4" fillId="0" borderId="15" xfId="0" applyNumberFormat="1" applyFont="1" applyBorder="1" applyAlignment="1">
      <alignment horizontal="right" vertical="center" wrapText="1"/>
    </xf>
    <xf numFmtId="166" fontId="5" fillId="0" borderId="8" xfId="0" applyNumberFormat="1" applyFont="1" applyBorder="1" applyAlignment="1">
      <alignment horizontal="right" vertical="center" wrapText="1"/>
    </xf>
    <xf numFmtId="168" fontId="6" fillId="0" borderId="0" xfId="1" applyNumberFormat="1" applyFont="1" applyFill="1" applyBorder="1" applyAlignment="1">
      <alignment horizontal="right" vertical="center" wrapText="1"/>
    </xf>
    <xf numFmtId="10" fontId="6" fillId="0" borderId="0" xfId="1" applyNumberFormat="1" applyFont="1" applyFill="1" applyBorder="1" applyAlignment="1">
      <alignment horizontal="right" vertical="center" wrapText="1"/>
    </xf>
    <xf numFmtId="9" fontId="4" fillId="0" borderId="0" xfId="0" applyNumberFormat="1" applyFont="1" applyAlignment="1">
      <alignment horizontal="right" vertical="center"/>
    </xf>
    <xf numFmtId="167" fontId="4" fillId="0" borderId="0" xfId="1" applyNumberFormat="1" applyFont="1" applyFill="1" applyBorder="1" applyAlignment="1">
      <alignment horizontal="right" vertical="center"/>
    </xf>
    <xf numFmtId="166" fontId="6" fillId="0" borderId="17" xfId="0" applyNumberFormat="1" applyFont="1" applyBorder="1" applyAlignment="1">
      <alignment horizontal="right" vertical="center" wrapText="1"/>
    </xf>
    <xf numFmtId="0" fontId="6" fillId="0" borderId="17" xfId="0" applyFont="1" applyBorder="1" applyAlignment="1">
      <alignment horizontal="left" vertical="center" indent="1"/>
    </xf>
    <xf numFmtId="166" fontId="6" fillId="0" borderId="18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horizontal="left" vertical="center" indent="1"/>
    </xf>
    <xf numFmtId="166" fontId="6" fillId="0" borderId="9" xfId="0" applyNumberFormat="1" applyFont="1" applyBorder="1" applyAlignment="1">
      <alignment horizontal="right" vertical="center" wrapText="1"/>
    </xf>
    <xf numFmtId="166" fontId="6" fillId="0" borderId="19" xfId="0" applyNumberFormat="1" applyFont="1" applyBorder="1" applyAlignment="1">
      <alignment horizontal="right" vertical="center" wrapText="1"/>
    </xf>
    <xf numFmtId="0" fontId="6" fillId="0" borderId="19" xfId="0" applyFont="1" applyBorder="1" applyAlignment="1">
      <alignment horizontal="left" vertical="center" wrapText="1" indent="1"/>
    </xf>
    <xf numFmtId="166" fontId="4" fillId="0" borderId="0" xfId="0" applyNumberFormat="1" applyFont="1" applyAlignment="1">
      <alignment horizontal="right"/>
    </xf>
    <xf numFmtId="0" fontId="12" fillId="0" borderId="0" xfId="0" applyFont="1"/>
    <xf numFmtId="0" fontId="13" fillId="0" borderId="0" xfId="0" applyFont="1"/>
    <xf numFmtId="166" fontId="16" fillId="0" borderId="5" xfId="0" applyNumberFormat="1" applyFont="1" applyBorder="1" applyAlignment="1">
      <alignment horizontal="right" vertical="center" wrapText="1"/>
    </xf>
    <xf numFmtId="166" fontId="16" fillId="0" borderId="2" xfId="0" applyNumberFormat="1" applyFont="1" applyBorder="1" applyAlignment="1">
      <alignment horizontal="right" vertical="center" wrapText="1"/>
    </xf>
    <xf numFmtId="166" fontId="16" fillId="0" borderId="0" xfId="0" applyNumberFormat="1" applyFont="1" applyAlignment="1">
      <alignment horizontal="right" vertical="center" wrapText="1"/>
    </xf>
    <xf numFmtId="0" fontId="16" fillId="0" borderId="2" xfId="0" applyFont="1" applyBorder="1" applyAlignment="1">
      <alignment horizontal="left" vertical="center" indent="1"/>
    </xf>
    <xf numFmtId="0" fontId="19" fillId="0" borderId="0" xfId="0" applyFont="1"/>
    <xf numFmtId="167" fontId="7" fillId="0" borderId="0" xfId="1" applyNumberFormat="1" applyFont="1"/>
    <xf numFmtId="0" fontId="16" fillId="0" borderId="5" xfId="0" applyFont="1" applyBorder="1" applyAlignment="1">
      <alignment horizontal="left" vertical="center" indent="1"/>
    </xf>
    <xf numFmtId="0" fontId="7" fillId="0" borderId="0" xfId="0" quotePrefix="1" applyFont="1"/>
    <xf numFmtId="0" fontId="20" fillId="0" borderId="0" xfId="0" applyFont="1"/>
    <xf numFmtId="0" fontId="18" fillId="0" borderId="0" xfId="0" applyFont="1"/>
    <xf numFmtId="0" fontId="23" fillId="0" borderId="0" xfId="0" applyFont="1"/>
    <xf numFmtId="0" fontId="24" fillId="0" borderId="0" xfId="0" applyFont="1"/>
    <xf numFmtId="0" fontId="16" fillId="0" borderId="0" xfId="0" applyFont="1"/>
    <xf numFmtId="167" fontId="16" fillId="0" borderId="0" xfId="1" applyNumberFormat="1" applyFont="1" applyBorder="1"/>
    <xf numFmtId="166" fontId="16" fillId="0" borderId="0" xfId="0" applyNumberFormat="1" applyFont="1"/>
    <xf numFmtId="166" fontId="18" fillId="0" borderId="0" xfId="0" applyNumberFormat="1" applyFont="1"/>
    <xf numFmtId="166" fontId="16" fillId="0" borderId="0" xfId="1" applyNumberFormat="1" applyFont="1" applyFill="1" applyBorder="1"/>
    <xf numFmtId="9" fontId="16" fillId="0" borderId="0" xfId="0" applyNumberFormat="1" applyFont="1"/>
    <xf numFmtId="167" fontId="16" fillId="0" borderId="0" xfId="0" applyNumberFormat="1" applyFont="1"/>
    <xf numFmtId="9" fontId="27" fillId="0" borderId="0" xfId="0" applyNumberFormat="1" applyFont="1"/>
    <xf numFmtId="168" fontId="6" fillId="0" borderId="0" xfId="0" applyNumberFormat="1" applyFont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166" fontId="16" fillId="2" borderId="2" xfId="0" applyNumberFormat="1" applyFont="1" applyFill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/>
    <xf numFmtId="0" fontId="30" fillId="0" borderId="0" xfId="0" applyFont="1"/>
    <xf numFmtId="43" fontId="4" fillId="0" borderId="2" xfId="6" applyFont="1" applyFill="1" applyBorder="1" applyAlignment="1">
      <alignment horizontal="right" vertical="center" wrapText="1"/>
    </xf>
    <xf numFmtId="168" fontId="31" fillId="0" borderId="0" xfId="1" applyNumberFormat="1" applyFont="1" applyFill="1" applyBorder="1" applyAlignment="1">
      <alignment horizontal="right" vertical="center" wrapText="1"/>
    </xf>
    <xf numFmtId="3" fontId="16" fillId="0" borderId="2" xfId="0" applyNumberFormat="1" applyFont="1" applyBorder="1" applyAlignment="1">
      <alignment horizontal="right" vertical="center" wrapText="1"/>
    </xf>
    <xf numFmtId="10" fontId="6" fillId="0" borderId="19" xfId="1" applyNumberFormat="1" applyFont="1" applyFill="1" applyBorder="1" applyAlignment="1">
      <alignment horizontal="right" vertical="center" wrapText="1"/>
    </xf>
    <xf numFmtId="9" fontId="16" fillId="0" borderId="0" xfId="1" applyFont="1"/>
    <xf numFmtId="166" fontId="4" fillId="0" borderId="5" xfId="0" applyNumberFormat="1" applyFont="1" applyBorder="1" applyAlignment="1">
      <alignment horizontal="right" vertical="center" wrapText="1"/>
    </xf>
    <xf numFmtId="9" fontId="6" fillId="0" borderId="0" xfId="0" applyNumberFormat="1" applyFont="1" applyAlignment="1">
      <alignment horizontal="right" vertical="center" wrapText="1"/>
    </xf>
    <xf numFmtId="9" fontId="32" fillId="0" borderId="0" xfId="0" applyNumberFormat="1" applyFont="1"/>
    <xf numFmtId="166" fontId="4" fillId="0" borderId="21" xfId="0" applyNumberFormat="1" applyFont="1" applyBorder="1" applyAlignment="1">
      <alignment horizontal="right" vertical="center" wrapText="1"/>
    </xf>
    <xf numFmtId="9" fontId="33" fillId="0" borderId="0" xfId="0" applyNumberFormat="1" applyFont="1"/>
    <xf numFmtId="9" fontId="17" fillId="0" borderId="0" xfId="0" applyNumberFormat="1" applyFont="1"/>
    <xf numFmtId="167" fontId="34" fillId="0" borderId="0" xfId="1" applyNumberFormat="1" applyFont="1" applyBorder="1"/>
    <xf numFmtId="9" fontId="34" fillId="0" borderId="0" xfId="0" applyNumberFormat="1" applyFont="1"/>
    <xf numFmtId="0" fontId="16" fillId="0" borderId="0" xfId="0" applyFont="1" applyAlignment="1">
      <alignment horizontal="left" vertical="center" indent="1"/>
    </xf>
    <xf numFmtId="166" fontId="18" fillId="0" borderId="0" xfId="0" applyNumberFormat="1" applyFont="1" applyAlignment="1">
      <alignment horizontal="right" vertical="center" wrapText="1"/>
    </xf>
    <xf numFmtId="168" fontId="37" fillId="0" borderId="0" xfId="1" applyNumberFormat="1" applyFont="1" applyFill="1" applyBorder="1" applyAlignment="1">
      <alignment horizontal="right" vertical="center" wrapText="1"/>
    </xf>
    <xf numFmtId="166" fontId="16" fillId="0" borderId="21" xfId="0" applyNumberFormat="1" applyFont="1" applyBorder="1" applyAlignment="1">
      <alignment horizontal="right" vertical="center" wrapText="1"/>
    </xf>
    <xf numFmtId="3" fontId="16" fillId="0" borderId="21" xfId="0" applyNumberFormat="1" applyFont="1" applyBorder="1" applyAlignment="1">
      <alignment horizontal="right" vertical="center" wrapText="1"/>
    </xf>
    <xf numFmtId="43" fontId="4" fillId="0" borderId="21" xfId="6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 indent="1"/>
    </xf>
    <xf numFmtId="166" fontId="6" fillId="0" borderId="4" xfId="0" applyNumberFormat="1" applyFont="1" applyBorder="1" applyAlignment="1">
      <alignment horizontal="right" vertical="center" wrapText="1"/>
    </xf>
    <xf numFmtId="166" fontId="11" fillId="0" borderId="2" xfId="0" applyNumberFormat="1" applyFont="1" applyBorder="1" applyAlignment="1">
      <alignment horizontal="right" vertical="center" wrapText="1"/>
    </xf>
    <xf numFmtId="2" fontId="28" fillId="0" borderId="0" xfId="0" applyNumberFormat="1" applyFont="1"/>
    <xf numFmtId="4" fontId="4" fillId="0" borderId="0" xfId="0" applyNumberFormat="1" applyFont="1"/>
    <xf numFmtId="0" fontId="4" fillId="0" borderId="10" xfId="0" applyFont="1" applyBorder="1" applyAlignment="1">
      <alignment horizontal="left" vertical="center" indent="1"/>
    </xf>
    <xf numFmtId="0" fontId="4" fillId="0" borderId="21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indent="1"/>
    </xf>
    <xf numFmtId="0" fontId="4" fillId="0" borderId="6" xfId="0" applyFont="1" applyBorder="1" applyAlignment="1">
      <alignment horizontal="left" vertical="center" indent="2"/>
    </xf>
    <xf numFmtId="0" fontId="4" fillId="0" borderId="11" xfId="0" applyFont="1" applyBorder="1" applyAlignment="1">
      <alignment horizontal="left" vertical="center" indent="2"/>
    </xf>
    <xf numFmtId="0" fontId="4" fillId="0" borderId="21" xfId="0" applyFont="1" applyBorder="1" applyAlignment="1">
      <alignment horizontal="left" vertical="center" indent="2"/>
    </xf>
    <xf numFmtId="0" fontId="6" fillId="3" borderId="1" xfId="0" applyFont="1" applyFill="1" applyBorder="1" applyAlignment="1">
      <alignment horizontal="left" vertical="center" indent="1"/>
    </xf>
    <xf numFmtId="0" fontId="6" fillId="3" borderId="0" xfId="0" applyFont="1" applyFill="1" applyAlignment="1">
      <alignment horizontal="left" vertical="center" indent="1"/>
    </xf>
    <xf numFmtId="0" fontId="4" fillId="0" borderId="14" xfId="0" applyFont="1" applyBorder="1" applyAlignment="1">
      <alignment horizontal="left" vertical="center" indent="2"/>
    </xf>
    <xf numFmtId="0" fontId="5" fillId="0" borderId="11" xfId="0" applyFont="1" applyBorder="1" applyAlignment="1">
      <alignment horizontal="left" vertical="center" indent="3"/>
    </xf>
    <xf numFmtId="0" fontId="5" fillId="0" borderId="16" xfId="0" applyFont="1" applyBorder="1" applyAlignment="1">
      <alignment horizontal="left" vertical="center" indent="3"/>
    </xf>
    <xf numFmtId="0" fontId="5" fillId="0" borderId="21" xfId="0" applyFont="1" applyBorder="1" applyAlignment="1">
      <alignment horizontal="left" vertical="center" indent="3"/>
    </xf>
    <xf numFmtId="0" fontId="5" fillId="0" borderId="10" xfId="0" applyFont="1" applyBorder="1" applyAlignment="1">
      <alignment horizontal="left" vertical="center" indent="3"/>
    </xf>
    <xf numFmtId="0" fontId="5" fillId="0" borderId="8" xfId="0" applyFont="1" applyBorder="1" applyAlignment="1">
      <alignment horizontal="left" vertical="center" indent="3"/>
    </xf>
    <xf numFmtId="0" fontId="5" fillId="0" borderId="5" xfId="0" applyFont="1" applyBorder="1" applyAlignment="1">
      <alignment horizontal="left" vertical="center" indent="3"/>
    </xf>
    <xf numFmtId="0" fontId="5" fillId="0" borderId="13" xfId="0" applyFont="1" applyBorder="1" applyAlignment="1">
      <alignment horizontal="left" vertical="center" indent="3"/>
    </xf>
    <xf numFmtId="0" fontId="2" fillId="0" borderId="0" xfId="0" applyFont="1" applyAlignment="1">
      <alignment horizontal="left" indent="1"/>
    </xf>
    <xf numFmtId="0" fontId="4" fillId="0" borderId="6" xfId="0" applyFont="1" applyBorder="1" applyAlignment="1">
      <alignment horizontal="left" vertical="center" indent="3"/>
    </xf>
    <xf numFmtId="0" fontId="4" fillId="0" borderId="1" xfId="0" applyFont="1" applyBorder="1" applyAlignment="1">
      <alignment horizontal="left" vertical="center" indent="3"/>
    </xf>
    <xf numFmtId="0" fontId="4" fillId="0" borderId="0" xfId="2" applyFont="1" applyAlignment="1">
      <alignment horizontal="left" indent="1"/>
    </xf>
    <xf numFmtId="0" fontId="4" fillId="0" borderId="8" xfId="2" applyFont="1" applyBorder="1"/>
    <xf numFmtId="0" fontId="16" fillId="0" borderId="21" xfId="0" applyFont="1" applyBorder="1" applyAlignment="1">
      <alignment horizontal="left" vertical="center" indent="1"/>
    </xf>
    <xf numFmtId="166" fontId="5" fillId="0" borderId="21" xfId="0" applyNumberFormat="1" applyFont="1" applyBorder="1" applyAlignment="1">
      <alignment horizontal="right" vertical="center" wrapText="1"/>
    </xf>
    <xf numFmtId="164" fontId="4" fillId="0" borderId="0" xfId="3" applyNumberFormat="1" applyFont="1" applyFill="1" applyBorder="1" applyAlignment="1">
      <alignment horizontal="right" wrapText="1"/>
    </xf>
    <xf numFmtId="164" fontId="4" fillId="0" borderId="0" xfId="2" applyNumberFormat="1" applyFont="1" applyAlignment="1">
      <alignment horizontal="right" wrapText="1"/>
    </xf>
    <xf numFmtId="0" fontId="4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indent="3"/>
    </xf>
    <xf numFmtId="2" fontId="18" fillId="0" borderId="0" xfId="4" applyNumberFormat="1" applyFont="1"/>
    <xf numFmtId="1" fontId="18" fillId="0" borderId="0" xfId="4" applyNumberFormat="1" applyFont="1"/>
    <xf numFmtId="169" fontId="18" fillId="0" borderId="0" xfId="4" applyFont="1"/>
    <xf numFmtId="3" fontId="18" fillId="0" borderId="0" xfId="4" applyNumberFormat="1" applyFont="1" applyAlignment="1">
      <alignment horizontal="right"/>
    </xf>
    <xf numFmtId="169" fontId="18" fillId="0" borderId="0" xfId="4" applyFont="1" applyAlignment="1">
      <alignment horizontal="right"/>
    </xf>
    <xf numFmtId="4" fontId="18" fillId="0" borderId="0" xfId="4" applyNumberFormat="1" applyFont="1" applyAlignment="1">
      <alignment horizontal="right"/>
    </xf>
    <xf numFmtId="0" fontId="16" fillId="0" borderId="2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166" fontId="16" fillId="0" borderId="10" xfId="0" applyNumberFormat="1" applyFont="1" applyBorder="1" applyAlignment="1">
      <alignment horizontal="right" vertical="center" wrapText="1"/>
    </xf>
    <xf numFmtId="9" fontId="16" fillId="0" borderId="10" xfId="5" applyFont="1" applyFill="1" applyBorder="1" applyAlignment="1">
      <alignment horizontal="right" vertical="center" wrapText="1"/>
    </xf>
    <xf numFmtId="43" fontId="16" fillId="0" borderId="10" xfId="0" applyNumberFormat="1" applyFont="1" applyBorder="1" applyAlignment="1">
      <alignment horizontal="right" vertical="center" wrapText="1"/>
    </xf>
    <xf numFmtId="169" fontId="40" fillId="0" borderId="0" xfId="4" applyFont="1"/>
    <xf numFmtId="165" fontId="16" fillId="0" borderId="10" xfId="0" applyNumberFormat="1" applyFont="1" applyBorder="1" applyAlignment="1">
      <alignment horizontal="right" vertical="center" wrapText="1"/>
    </xf>
    <xf numFmtId="10" fontId="7" fillId="0" borderId="0" xfId="0" applyNumberFormat="1" applyFont="1"/>
    <xf numFmtId="0" fontId="41" fillId="0" borderId="20" xfId="0" applyFont="1" applyBorder="1" applyAlignment="1">
      <alignment horizontal="left" vertical="center" wrapText="1" indent="1"/>
    </xf>
    <xf numFmtId="0" fontId="25" fillId="0" borderId="20" xfId="0" applyFont="1" applyBorder="1" applyAlignment="1">
      <alignment horizontal="left" vertical="center" wrapText="1" indent="1"/>
    </xf>
    <xf numFmtId="0" fontId="43" fillId="0" borderId="0" xfId="0" applyFont="1"/>
    <xf numFmtId="0" fontId="42" fillId="0" borderId="20" xfId="0" applyFont="1" applyBorder="1" applyAlignment="1">
      <alignment horizontal="left" vertical="center" wrapText="1" indent="1"/>
    </xf>
    <xf numFmtId="0" fontId="44" fillId="0" borderId="0" xfId="0" applyFont="1"/>
    <xf numFmtId="0" fontId="45" fillId="0" borderId="20" xfId="0" applyFont="1" applyBorder="1" applyAlignment="1">
      <alignment horizontal="left" vertical="center" indent="1"/>
    </xf>
    <xf numFmtId="1" fontId="45" fillId="0" borderId="20" xfId="0" applyNumberFormat="1" applyFont="1" applyBorder="1" applyAlignment="1">
      <alignment horizontal="right" vertical="center" wrapText="1"/>
    </xf>
    <xf numFmtId="166" fontId="45" fillId="0" borderId="20" xfId="0" applyNumberFormat="1" applyFont="1" applyBorder="1" applyAlignment="1">
      <alignment horizontal="right" vertical="center" wrapText="1"/>
    </xf>
    <xf numFmtId="0" fontId="26" fillId="0" borderId="20" xfId="0" applyFont="1" applyBorder="1" applyAlignment="1">
      <alignment horizontal="left" vertical="center" wrapText="1" indent="1"/>
    </xf>
    <xf numFmtId="166" fontId="26" fillId="0" borderId="20" xfId="0" applyNumberFormat="1" applyFont="1" applyBorder="1" applyAlignment="1">
      <alignment horizontal="left" vertical="center" wrapText="1" indent="1"/>
    </xf>
    <xf numFmtId="167" fontId="26" fillId="0" borderId="20" xfId="1" applyNumberFormat="1" applyFont="1" applyFill="1" applyBorder="1" applyAlignment="1">
      <alignment horizontal="left" vertical="center" wrapText="1" indent="1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169" fontId="20" fillId="0" borderId="0" xfId="4" applyFont="1"/>
    <xf numFmtId="166" fontId="6" fillId="0" borderId="19" xfId="0" applyNumberFormat="1" applyFont="1" applyBorder="1" applyAlignment="1">
      <alignment horizontal="left" vertical="center" wrapText="1"/>
    </xf>
    <xf numFmtId="166" fontId="6" fillId="0" borderId="19" xfId="0" applyNumberFormat="1" applyFont="1" applyBorder="1" applyAlignment="1">
      <alignment horizontal="left" vertical="center" wrapText="1" indent="1"/>
    </xf>
    <xf numFmtId="0" fontId="42" fillId="0" borderId="20" xfId="0" applyFont="1" applyBorder="1" applyAlignment="1">
      <alignment horizontal="right" vertical="center" wrapText="1"/>
    </xf>
    <xf numFmtId="0" fontId="11" fillId="0" borderId="0" xfId="0" applyFont="1"/>
    <xf numFmtId="0" fontId="47" fillId="0" borderId="0" xfId="0" applyFont="1" applyAlignment="1">
      <alignment horizontal="left" indent="1"/>
    </xf>
    <xf numFmtId="1" fontId="48" fillId="0" borderId="0" xfId="0" applyNumberFormat="1" applyFont="1" applyAlignment="1">
      <alignment horizontal="right" vertical="center" wrapText="1"/>
    </xf>
    <xf numFmtId="166" fontId="6" fillId="0" borderId="7" xfId="0" applyNumberFormat="1" applyFont="1" applyBorder="1" applyAlignment="1">
      <alignment horizontal="left" vertical="center" wrapText="1" indent="1"/>
    </xf>
    <xf numFmtId="166" fontId="6" fillId="0" borderId="3" xfId="0" applyNumberFormat="1" applyFont="1" applyBorder="1" applyAlignment="1">
      <alignment horizontal="left" vertical="center" wrapText="1"/>
    </xf>
    <xf numFmtId="166" fontId="4" fillId="0" borderId="10" xfId="0" applyNumberFormat="1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left" vertical="center" wrapText="1"/>
    </xf>
    <xf numFmtId="166" fontId="4" fillId="0" borderId="9" xfId="0" applyNumberFormat="1" applyFont="1" applyBorder="1" applyAlignment="1">
      <alignment horizontal="left" vertical="center" wrapText="1"/>
    </xf>
    <xf numFmtId="166" fontId="6" fillId="0" borderId="0" xfId="0" applyNumberFormat="1" applyFont="1" applyAlignment="1">
      <alignment horizontal="left" vertical="center" wrapText="1"/>
    </xf>
    <xf numFmtId="166" fontId="4" fillId="0" borderId="0" xfId="0" applyNumberFormat="1" applyFont="1" applyAlignment="1">
      <alignment horizontal="left" vertical="center" wrapText="1"/>
    </xf>
    <xf numFmtId="166" fontId="4" fillId="0" borderId="21" xfId="0" applyNumberFormat="1" applyFont="1" applyBorder="1" applyAlignment="1">
      <alignment horizontal="left" vertical="center" wrapText="1"/>
    </xf>
    <xf numFmtId="166" fontId="6" fillId="0" borderId="18" xfId="0" applyNumberFormat="1" applyFont="1" applyBorder="1" applyAlignment="1">
      <alignment horizontal="left" vertical="center" wrapText="1"/>
    </xf>
    <xf numFmtId="166" fontId="6" fillId="0" borderId="17" xfId="0" applyNumberFormat="1" applyFont="1" applyBorder="1" applyAlignment="1">
      <alignment horizontal="left" vertical="center" wrapText="1"/>
    </xf>
    <xf numFmtId="166" fontId="4" fillId="0" borderId="0" xfId="0" applyNumberFormat="1" applyFont="1" applyAlignment="1">
      <alignment horizontal="left" vertical="center"/>
    </xf>
    <xf numFmtId="166" fontId="4" fillId="0" borderId="14" xfId="0" applyNumberFormat="1" applyFont="1" applyBorder="1" applyAlignment="1">
      <alignment horizontal="left" vertical="center" wrapText="1"/>
    </xf>
    <xf numFmtId="166" fontId="5" fillId="0" borderId="10" xfId="0" applyNumberFormat="1" applyFont="1" applyBorder="1" applyAlignment="1">
      <alignment horizontal="left" vertical="center" wrapText="1"/>
    </xf>
    <xf numFmtId="166" fontId="5" fillId="0" borderId="13" xfId="0" applyNumberFormat="1" applyFont="1" applyBorder="1" applyAlignment="1">
      <alignment horizontal="left" vertical="center" wrapText="1"/>
    </xf>
    <xf numFmtId="166" fontId="5" fillId="0" borderId="8" xfId="0" applyNumberFormat="1" applyFont="1" applyBorder="1" applyAlignment="1">
      <alignment horizontal="left" vertical="center" wrapText="1"/>
    </xf>
    <xf numFmtId="166" fontId="5" fillId="0" borderId="2" xfId="0" applyNumberFormat="1" applyFont="1" applyBorder="1" applyAlignment="1">
      <alignment horizontal="left" vertical="center" wrapText="1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6" fontId="6" fillId="0" borderId="7" xfId="0" applyNumberFormat="1" applyFont="1" applyBorder="1" applyAlignment="1">
      <alignment horizontal="left" vertical="center" wrapText="1"/>
    </xf>
    <xf numFmtId="166" fontId="4" fillId="0" borderId="0" xfId="3" applyNumberFormat="1" applyFont="1" applyFill="1" applyBorder="1" applyAlignment="1">
      <alignment horizontal="left" vertical="center"/>
    </xf>
    <xf numFmtId="166" fontId="4" fillId="0" borderId="3" xfId="0" applyNumberFormat="1" applyFont="1" applyBorder="1" applyAlignment="1">
      <alignment horizontal="left" vertical="center" wrapText="1"/>
    </xf>
    <xf numFmtId="41" fontId="4" fillId="0" borderId="0" xfId="3" applyNumberFormat="1" applyFont="1" applyFill="1" applyBorder="1" applyAlignment="1">
      <alignment horizontal="left" wrapText="1"/>
    </xf>
    <xf numFmtId="41" fontId="4" fillId="0" borderId="0" xfId="2" applyNumberFormat="1" applyFont="1" applyAlignment="1">
      <alignment horizontal="left" wrapText="1"/>
    </xf>
    <xf numFmtId="0" fontId="4" fillId="0" borderId="8" xfId="2" applyFont="1" applyBorder="1" applyAlignment="1">
      <alignment horizontal="left"/>
    </xf>
    <xf numFmtId="14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left"/>
    </xf>
    <xf numFmtId="170" fontId="6" fillId="0" borderId="4" xfId="0" applyNumberFormat="1" applyFont="1" applyBorder="1" applyAlignment="1">
      <alignment horizontal="right" vertical="center" wrapText="1"/>
    </xf>
    <xf numFmtId="169" fontId="18" fillId="0" borderId="0" xfId="4" applyFont="1" applyAlignment="1">
      <alignment horizontal="left"/>
    </xf>
    <xf numFmtId="0" fontId="39" fillId="0" borderId="2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9" fillId="0" borderId="0" xfId="0" applyFont="1"/>
    <xf numFmtId="169" fontId="18" fillId="0" borderId="0" xfId="4" applyFont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3" fontId="18" fillId="0" borderId="0" xfId="4" applyNumberFormat="1" applyFont="1" applyAlignment="1">
      <alignment horizontal="center"/>
    </xf>
    <xf numFmtId="171" fontId="16" fillId="0" borderId="10" xfId="0" applyNumberFormat="1" applyFont="1" applyBorder="1" applyAlignment="1">
      <alignment horizontal="right" vertical="center" wrapText="1"/>
    </xf>
    <xf numFmtId="3" fontId="18" fillId="0" borderId="0" xfId="4" applyNumberFormat="1" applyFont="1"/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vertical="center" wrapText="1"/>
    </xf>
    <xf numFmtId="14" fontId="18" fillId="4" borderId="0" xfId="4" applyNumberFormat="1" applyFont="1" applyFill="1" applyAlignment="1">
      <alignment horizontal="center"/>
    </xf>
    <xf numFmtId="166" fontId="6" fillId="0" borderId="4" xfId="0" applyNumberFormat="1" applyFont="1" applyBorder="1" applyAlignment="1">
      <alignment horizontal="left" vertical="center" wrapText="1"/>
    </xf>
    <xf numFmtId="0" fontId="49" fillId="0" borderId="0" xfId="0" applyFont="1"/>
    <xf numFmtId="1" fontId="50" fillId="0" borderId="0" xfId="0" applyNumberFormat="1" applyFont="1" applyAlignment="1">
      <alignment horizontal="right" vertical="center" wrapText="1"/>
    </xf>
    <xf numFmtId="166" fontId="50" fillId="0" borderId="0" xfId="0" applyNumberFormat="1" applyFont="1" applyAlignment="1">
      <alignment horizontal="right" vertical="center" wrapText="1"/>
    </xf>
    <xf numFmtId="2" fontId="49" fillId="0" borderId="0" xfId="4" applyNumberFormat="1" applyFont="1"/>
    <xf numFmtId="1" fontId="49" fillId="0" borderId="0" xfId="4" applyNumberFormat="1" applyFont="1"/>
    <xf numFmtId="169" fontId="49" fillId="0" borderId="0" xfId="4" applyFont="1" applyAlignment="1">
      <alignment horizontal="center"/>
    </xf>
    <xf numFmtId="169" fontId="49" fillId="0" borderId="0" xfId="4" applyFont="1"/>
    <xf numFmtId="3" fontId="49" fillId="0" borderId="0" xfId="4" applyNumberFormat="1" applyFont="1" applyAlignment="1">
      <alignment horizontal="right"/>
    </xf>
    <xf numFmtId="169" fontId="49" fillId="0" borderId="0" xfId="4" applyFont="1" applyAlignment="1">
      <alignment horizontal="right"/>
    </xf>
    <xf numFmtId="4" fontId="49" fillId="0" borderId="0" xfId="4" applyNumberFormat="1" applyFont="1" applyAlignment="1">
      <alignment horizontal="right"/>
    </xf>
    <xf numFmtId="169" fontId="49" fillId="0" borderId="0" xfId="4" applyFont="1" applyAlignment="1">
      <alignment horizontal="left"/>
    </xf>
    <xf numFmtId="3" fontId="49" fillId="0" borderId="0" xfId="4" applyNumberFormat="1" applyFont="1" applyAlignment="1">
      <alignment horizontal="center"/>
    </xf>
    <xf numFmtId="3" fontId="49" fillId="0" borderId="0" xfId="4" applyNumberFormat="1" applyFont="1"/>
    <xf numFmtId="0" fontId="42" fillId="0" borderId="20" xfId="0" applyFont="1" applyBorder="1" applyAlignment="1">
      <alignment horizontal="center" vertical="center"/>
    </xf>
    <xf numFmtId="0" fontId="46" fillId="0" borderId="30" xfId="0" applyFont="1" applyBorder="1" applyAlignment="1">
      <alignment horizontal="center"/>
    </xf>
  </cellXfs>
  <cellStyles count="16">
    <cellStyle name="Normal" xfId="0" builtinId="0"/>
    <cellStyle name="Normal 12" xfId="4" xr:uid="{00000000-0005-0000-0000-000001000000}"/>
    <cellStyle name="Normal 12 2" xfId="2" xr:uid="{00000000-0005-0000-0000-000002000000}"/>
    <cellStyle name="Normal 13" xfId="8" xr:uid="{00000000-0005-0000-0000-000003000000}"/>
    <cellStyle name="Normal 2" xfId="12" xr:uid="{00000000-0005-0000-0000-000004000000}"/>
    <cellStyle name="Normal 2 2" xfId="10" xr:uid="{00000000-0005-0000-0000-000005000000}"/>
    <cellStyle name="Normal 2 2 3" xfId="15" xr:uid="{00000000-0005-0000-0000-000006000000}"/>
    <cellStyle name="Normal 3" xfId="9" xr:uid="{00000000-0005-0000-0000-000007000000}"/>
    <cellStyle name="Porcentagem" xfId="1" builtinId="5"/>
    <cellStyle name="Porcentagem 14" xfId="5" xr:uid="{00000000-0005-0000-0000-000009000000}"/>
    <cellStyle name="Separador de milhares 4" xfId="3" xr:uid="{00000000-0005-0000-0000-00000A000000}"/>
    <cellStyle name="Separador de milhares 4 4" xfId="7" xr:uid="{00000000-0005-0000-0000-00000B000000}"/>
    <cellStyle name="Vírgula" xfId="6" builtinId="3"/>
    <cellStyle name="Vírgula 10 2" xfId="14" xr:uid="{00000000-0005-0000-0000-00000D000000}"/>
    <cellStyle name="Vírgula 2" xfId="13" xr:uid="{00000000-0005-0000-0000-00000E000000}"/>
    <cellStyle name="Vírgula 7" xfId="11" xr:uid="{00000000-0005-0000-0000-00000F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ados Operacionais'!A1"/><Relationship Id="rId2" Type="http://schemas.openxmlformats.org/officeDocument/2006/relationships/hyperlink" Target="#'Dados Financeiros'!A1"/><Relationship Id="rId1" Type="http://schemas.openxmlformats.org/officeDocument/2006/relationships/image" Target="../media/image1.jpeg"/><Relationship Id="rId4" Type="http://schemas.openxmlformats.org/officeDocument/2006/relationships/hyperlink" Target="#Lan&#231;amentos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412750</xdr:colOff>
      <xdr:row>1</xdr:row>
      <xdr:rowOff>165101</xdr:rowOff>
    </xdr:from>
    <xdr:to>
      <xdr:col>7</xdr:col>
      <xdr:colOff>177800</xdr:colOff>
      <xdr:row>4</xdr:row>
      <xdr:rowOff>177800</xdr:rowOff>
    </xdr:to>
    <xdr:pic>
      <xdr:nvPicPr>
        <xdr:cNvPr id="2" name="Imagem 1" descr="logo_tecnisa_novo">
          <a:extLst>
            <a:ext uri="{FF2B5EF4-FFF2-40B4-BE49-F238E27FC236}">
              <a16:creationId xmlns:a16="http://schemas.microsoft.com/office/drawing/2014/main" id="{58A4208C-E445-46C8-8DD5-88E33D11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500" y="349251"/>
          <a:ext cx="1593850" cy="565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165100</xdr:colOff>
      <xdr:row>8</xdr:row>
      <xdr:rowOff>171450</xdr:rowOff>
    </xdr:from>
    <xdr:to>
      <xdr:col>6</xdr:col>
      <xdr:colOff>247650</xdr:colOff>
      <xdr:row>11</xdr:row>
      <xdr:rowOff>146050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124FA8-C51C-D3C5-B2FD-2698C087BEF2}"/>
            </a:ext>
          </a:extLst>
        </xdr:cNvPr>
        <xdr:cNvSpPr/>
      </xdr:nvSpPr>
      <xdr:spPr>
        <a:xfrm>
          <a:off x="2863850" y="1701800"/>
          <a:ext cx="1301750" cy="52705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lang="pt-BR" sz="1100">
              <a:solidFill>
                <a:srgbClr val="C00000"/>
              </a:solidFill>
            </a:rPr>
            <a:t>Dados Financeiros</a:t>
          </a:r>
        </a:p>
        <a:p>
          <a:pPr algn="l"/>
          <a:r>
            <a:rPr lang="pt-BR" sz="1100" i="1" baseline="0">
              <a:solidFill>
                <a:schemeClr val="tx1">
                  <a:lumMod val="50000"/>
                  <a:lumOff val="50000"/>
                </a:schemeClr>
              </a:solidFill>
            </a:rPr>
            <a:t>Financial Data</a:t>
          </a:r>
        </a:p>
        <a:p>
          <a:pPr algn="l"/>
          <a:endParaRPr lang="pt-BR" sz="1100"/>
        </a:p>
      </xdr:txBody>
    </xdr:sp>
    <xdr:clientData/>
  </xdr:twoCellAnchor>
  <xdr:twoCellAnchor>
    <xdr:from>
      <xdr:col>6</xdr:col>
      <xdr:colOff>285750</xdr:colOff>
      <xdr:row>8</xdr:row>
      <xdr:rowOff>165100</xdr:rowOff>
    </xdr:from>
    <xdr:to>
      <xdr:col>8</xdr:col>
      <xdr:colOff>457200</xdr:colOff>
      <xdr:row>11</xdr:row>
      <xdr:rowOff>139700</xdr:rowOff>
    </xdr:to>
    <xdr:sp macro="" textlink="">
      <xdr:nvSpPr>
        <xdr:cNvPr id="9" name="Retângulo: Cantos Arredondados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5E2A14-1DFB-438E-83C4-BDA200460AD2}"/>
            </a:ext>
          </a:extLst>
        </xdr:cNvPr>
        <xdr:cNvSpPr/>
      </xdr:nvSpPr>
      <xdr:spPr>
        <a:xfrm>
          <a:off x="4203700" y="1695450"/>
          <a:ext cx="1390650" cy="52705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lang="pt-BR" sz="1100">
              <a:solidFill>
                <a:srgbClr val="C00000"/>
              </a:solidFill>
            </a:rPr>
            <a:t>Dados Operacionais</a:t>
          </a:r>
        </a:p>
        <a:p>
          <a:pPr algn="l"/>
          <a:r>
            <a:rPr lang="pt-BR" sz="1100" i="1" baseline="0">
              <a:solidFill>
                <a:schemeClr val="tx1">
                  <a:lumMod val="50000"/>
                  <a:lumOff val="50000"/>
                </a:schemeClr>
              </a:solidFill>
            </a:rPr>
            <a:t>Operational Data</a:t>
          </a:r>
        </a:p>
        <a:p>
          <a:pPr algn="l"/>
          <a:endParaRPr lang="pt-BR" sz="1100"/>
        </a:p>
      </xdr:txBody>
    </xdr:sp>
    <xdr:clientData/>
  </xdr:twoCellAnchor>
  <xdr:twoCellAnchor>
    <xdr:from>
      <xdr:col>8</xdr:col>
      <xdr:colOff>495300</xdr:colOff>
      <xdr:row>8</xdr:row>
      <xdr:rowOff>171450</xdr:rowOff>
    </xdr:from>
    <xdr:to>
      <xdr:col>11</xdr:col>
      <xdr:colOff>57150</xdr:colOff>
      <xdr:row>11</xdr:row>
      <xdr:rowOff>146050</xdr:rowOff>
    </xdr:to>
    <xdr:sp macro="" textlink="">
      <xdr:nvSpPr>
        <xdr:cNvPr id="10" name="Retângulo: Cantos Arredondados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C2D7E3-D2E6-4226-ACDD-0CD807F55899}"/>
            </a:ext>
          </a:extLst>
        </xdr:cNvPr>
        <xdr:cNvSpPr/>
      </xdr:nvSpPr>
      <xdr:spPr>
        <a:xfrm>
          <a:off x="5632450" y="1701800"/>
          <a:ext cx="1390650" cy="52705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lang="pt-BR" sz="1100">
              <a:solidFill>
                <a:srgbClr val="C00000"/>
              </a:solidFill>
            </a:rPr>
            <a:t>Lançamentos</a:t>
          </a:r>
        </a:p>
        <a:p>
          <a:pPr algn="l"/>
          <a:r>
            <a:rPr lang="pt-BR" sz="1100" i="1" baseline="0">
              <a:solidFill>
                <a:schemeClr val="tx1">
                  <a:lumMod val="50000"/>
                  <a:lumOff val="50000"/>
                </a:schemeClr>
              </a:solidFill>
            </a:rPr>
            <a:t>Launches' Info</a:t>
          </a:r>
        </a:p>
        <a:p>
          <a:pPr algn="l"/>
          <a:endParaRPr lang="pt-BR" sz="1100"/>
        </a:p>
      </xdr:txBody>
    </xdr:sp>
    <xdr:clientData/>
  </xdr:twoCellAnchor>
  <xdr:twoCellAnchor>
    <xdr:from>
      <xdr:col>12</xdr:col>
      <xdr:colOff>196850</xdr:colOff>
      <xdr:row>6</xdr:row>
      <xdr:rowOff>76200</xdr:rowOff>
    </xdr:from>
    <xdr:to>
      <xdr:col>15</xdr:col>
      <xdr:colOff>19050</xdr:colOff>
      <xdr:row>9</xdr:row>
      <xdr:rowOff>120650</xdr:rowOff>
    </xdr:to>
    <xdr:sp macro="" textlink="">
      <xdr:nvSpPr>
        <xdr:cNvPr id="11" name="Balão de Fala: Retângulo 10">
          <a:extLst>
            <a:ext uri="{FF2B5EF4-FFF2-40B4-BE49-F238E27FC236}">
              <a16:creationId xmlns:a16="http://schemas.microsoft.com/office/drawing/2014/main" id="{966F9E4B-5303-8E7A-1A22-3DAE7BE65CD7}"/>
            </a:ext>
          </a:extLst>
        </xdr:cNvPr>
        <xdr:cNvSpPr/>
      </xdr:nvSpPr>
      <xdr:spPr>
        <a:xfrm>
          <a:off x="7353300" y="1181100"/>
          <a:ext cx="1651000" cy="654050"/>
        </a:xfrm>
        <a:prstGeom prst="wedgeRectCallout">
          <a:avLst>
            <a:gd name="adj1" fmla="val -67884"/>
            <a:gd name="adj2" fmla="val 45453"/>
          </a:avLst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200" b="1">
              <a:solidFill>
                <a:srgbClr val="C00000"/>
              </a:solidFill>
            </a:rPr>
            <a:t>Menu</a:t>
          </a:r>
        </a:p>
        <a:p>
          <a:pPr algn="l"/>
          <a:r>
            <a:rPr lang="pt-BR" sz="1100" i="1" baseline="0">
              <a:solidFill>
                <a:sysClr val="windowText" lastClr="000000"/>
              </a:solidFill>
            </a:rPr>
            <a:t>Clique aqui para acessar</a:t>
          </a:r>
        </a:p>
        <a:p>
          <a:pPr algn="l"/>
          <a:r>
            <a:rPr lang="pt-BR" sz="1100" i="1" baseline="0">
              <a:solidFill>
                <a:schemeClr val="bg1">
                  <a:lumMod val="50000"/>
                </a:schemeClr>
              </a:solidFill>
            </a:rPr>
            <a:t>Click here to access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3670300</xdr:colOff>
      <xdr:row>0</xdr:row>
      <xdr:rowOff>241300</xdr:rowOff>
    </xdr:from>
    <xdr:to>
      <xdr:col>3</xdr:col>
      <xdr:colOff>4311650</xdr:colOff>
      <xdr:row>0</xdr:row>
      <xdr:rowOff>565150</xdr:rowOff>
    </xdr:to>
    <xdr:sp macro="" textlink="">
      <xdr:nvSpPr>
        <xdr:cNvPr id="2" name="Retângulo 1">
          <a:hlinkClick xmlns:r="http://schemas.openxmlformats.org/officeDocument/2006/relationships" r:id="rId1" tooltip="Menu"/>
          <a:extLst>
            <a:ext uri="{FF2B5EF4-FFF2-40B4-BE49-F238E27FC236}">
              <a16:creationId xmlns:a16="http://schemas.microsoft.com/office/drawing/2014/main" id="{1BBBBFA8-6B67-478C-9273-7C2E00214410}"/>
            </a:ext>
          </a:extLst>
        </xdr:cNvPr>
        <xdr:cNvSpPr/>
      </xdr:nvSpPr>
      <xdr:spPr>
        <a:xfrm>
          <a:off x="3797300" y="241300"/>
          <a:ext cx="641350" cy="3238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marL="0" indent="0" algn="ctr"/>
          <a:r>
            <a:rPr lang="pt-BR" sz="1100">
              <a:solidFill>
                <a:srgbClr val="C00000"/>
              </a:solidFill>
              <a:latin typeface="+mn-lt"/>
              <a:ea typeface="+mn-ea"/>
              <a:cs typeface="+mn-cs"/>
            </a:rPr>
            <a:t>&lt; </a:t>
          </a:r>
          <a:r>
            <a:rPr lang="pt-BR" sz="1100" b="1">
              <a:solidFill>
                <a:srgbClr val="C00000"/>
              </a:solidFill>
              <a:latin typeface="+mn-lt"/>
              <a:ea typeface="+mn-ea"/>
              <a:cs typeface="+mn-cs"/>
            </a:rPr>
            <a:t>Menu</a:t>
          </a:r>
        </a:p>
      </xdr:txBody>
    </xdr:sp>
    <xdr:clientData/>
  </xdr:twoCellAnchor>
  <xdr:twoCellAnchor editAs="absolute">
    <xdr:from>
      <xdr:col>3</xdr:col>
      <xdr:colOff>133350</xdr:colOff>
      <xdr:row>0</xdr:row>
      <xdr:rowOff>209550</xdr:rowOff>
    </xdr:from>
    <xdr:to>
      <xdr:col>3</xdr:col>
      <xdr:colOff>1426268</xdr:colOff>
      <xdr:row>0</xdr:row>
      <xdr:rowOff>630812</xdr:rowOff>
    </xdr:to>
    <xdr:pic>
      <xdr:nvPicPr>
        <xdr:cNvPr id="4" name="Imagem 3" descr="logo_tecnisa_novo">
          <a:extLst>
            <a:ext uri="{FF2B5EF4-FFF2-40B4-BE49-F238E27FC236}">
              <a16:creationId xmlns:a16="http://schemas.microsoft.com/office/drawing/2014/main" id="{64C0314F-061C-4BD6-BA71-F3581797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96850"/>
          <a:ext cx="1301173" cy="43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206662</xdr:rowOff>
    </xdr:from>
    <xdr:to>
      <xdr:col>3</xdr:col>
      <xdr:colOff>1314450</xdr:colOff>
      <xdr:row>0</xdr:row>
      <xdr:rowOff>627924</xdr:rowOff>
    </xdr:to>
    <xdr:pic>
      <xdr:nvPicPr>
        <xdr:cNvPr id="2" name="Imagem 1" descr="logo_tecnisa_nov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" y="197137"/>
          <a:ext cx="1301173" cy="43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1511300</xdr:colOff>
      <xdr:row>0</xdr:row>
      <xdr:rowOff>279400</xdr:rowOff>
    </xdr:from>
    <xdr:to>
      <xdr:col>3</xdr:col>
      <xdr:colOff>2152650</xdr:colOff>
      <xdr:row>0</xdr:row>
      <xdr:rowOff>603250</xdr:rowOff>
    </xdr:to>
    <xdr:sp macro="" textlink="">
      <xdr:nvSpPr>
        <xdr:cNvPr id="3" name="Retângulo 2">
          <a:hlinkClick xmlns:r="http://schemas.openxmlformats.org/officeDocument/2006/relationships" r:id="rId2" tooltip="Menu"/>
          <a:extLst>
            <a:ext uri="{FF2B5EF4-FFF2-40B4-BE49-F238E27FC236}">
              <a16:creationId xmlns:a16="http://schemas.microsoft.com/office/drawing/2014/main" id="{3BC0C801-278A-A7CD-4766-E63E8B7B87EA}"/>
            </a:ext>
          </a:extLst>
        </xdr:cNvPr>
        <xdr:cNvSpPr/>
      </xdr:nvSpPr>
      <xdr:spPr>
        <a:xfrm>
          <a:off x="1638300" y="279400"/>
          <a:ext cx="641350" cy="3238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marL="0" indent="0" algn="ctr"/>
          <a:r>
            <a:rPr lang="pt-BR" sz="1100">
              <a:solidFill>
                <a:srgbClr val="C00000"/>
              </a:solidFill>
              <a:latin typeface="+mn-lt"/>
              <a:ea typeface="+mn-ea"/>
              <a:cs typeface="+mn-cs"/>
            </a:rPr>
            <a:t>&lt; </a:t>
          </a:r>
          <a:r>
            <a:rPr lang="pt-BR" sz="1100" b="1">
              <a:solidFill>
                <a:srgbClr val="C00000"/>
              </a:solidFill>
              <a:latin typeface="+mn-lt"/>
              <a:ea typeface="+mn-ea"/>
              <a:cs typeface="+mn-cs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129540</xdr:colOff>
      <xdr:row>0</xdr:row>
      <xdr:rowOff>152400</xdr:rowOff>
    </xdr:from>
    <xdr:to>
      <xdr:col>1</xdr:col>
      <xdr:colOff>210878</xdr:colOff>
      <xdr:row>0</xdr:row>
      <xdr:rowOff>590807</xdr:rowOff>
    </xdr:to>
    <xdr:pic>
      <xdr:nvPicPr>
        <xdr:cNvPr id="2" name="Imagem 1" descr="logo_tecnisa_novo">
          <a:extLst>
            <a:ext uri="{FF2B5EF4-FFF2-40B4-BE49-F238E27FC236}">
              <a16:creationId xmlns:a16="http://schemas.microsoft.com/office/drawing/2014/main" id="{8C636539-438B-4A05-8921-C7C31B0B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52400"/>
          <a:ext cx="1301173" cy="43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609600</xdr:colOff>
      <xdr:row>0</xdr:row>
      <xdr:rowOff>228600</xdr:rowOff>
    </xdr:from>
    <xdr:to>
      <xdr:col>2</xdr:col>
      <xdr:colOff>514350</xdr:colOff>
      <xdr:row>0</xdr:row>
      <xdr:rowOff>552450</xdr:rowOff>
    </xdr:to>
    <xdr:sp macro="" textlink="">
      <xdr:nvSpPr>
        <xdr:cNvPr id="4" name="Retângulo 3">
          <a:hlinkClick xmlns:r="http://schemas.openxmlformats.org/officeDocument/2006/relationships" r:id="rId2" tooltip="Menu"/>
          <a:extLst>
            <a:ext uri="{FF2B5EF4-FFF2-40B4-BE49-F238E27FC236}">
              <a16:creationId xmlns:a16="http://schemas.microsoft.com/office/drawing/2014/main" id="{E249858F-F046-49AD-ABAF-618D90CB67E4}"/>
            </a:ext>
          </a:extLst>
        </xdr:cNvPr>
        <xdr:cNvSpPr/>
      </xdr:nvSpPr>
      <xdr:spPr>
        <a:xfrm>
          <a:off x="1835150" y="228600"/>
          <a:ext cx="641350" cy="3238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marL="0" indent="0" algn="ctr"/>
          <a:r>
            <a:rPr lang="pt-BR" sz="1100">
              <a:solidFill>
                <a:srgbClr val="C00000"/>
              </a:solidFill>
              <a:latin typeface="+mn-lt"/>
              <a:ea typeface="+mn-ea"/>
              <a:cs typeface="+mn-cs"/>
            </a:rPr>
            <a:t>&lt; </a:t>
          </a:r>
          <a:r>
            <a:rPr lang="pt-BR" sz="1100" b="1">
              <a:solidFill>
                <a:srgbClr val="C00000"/>
              </a:solidFill>
              <a:latin typeface="+mn-lt"/>
              <a:ea typeface="+mn-ea"/>
              <a:cs typeface="+mn-cs"/>
            </a:rPr>
            <a:t>Menu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98C79-DCEE-4614-A3E3-25E76C5AA55B}">
  <dimension ref="B2:L14"/>
  <sheetViews>
    <sheetView showGridLines="0" zoomScale="115" zoomScaleNormal="115" workbookViewId="0">
      <selection activeCell="D11" sqref="D11"/>
    </sheetView>
  </sheetViews>
  <sheetFormatPr defaultRowHeight="14.4" x14ac:dyDescent="0.3"/>
  <cols>
    <col min="2" max="2" width="2.77734375" customWidth="1"/>
    <col min="3" max="3" width="19.44140625" customWidth="1"/>
    <col min="4" max="4" width="11" customWidth="1"/>
    <col min="12" max="12" width="2.77734375" customWidth="1"/>
  </cols>
  <sheetData>
    <row r="2" spans="2:12" x14ac:dyDescent="0.3">
      <c r="B2" s="165"/>
      <c r="C2" s="166"/>
      <c r="D2" s="166"/>
      <c r="E2" s="166"/>
      <c r="F2" s="166"/>
      <c r="G2" s="166"/>
      <c r="H2" s="166"/>
      <c r="I2" s="166"/>
      <c r="J2" s="166"/>
      <c r="K2" s="166"/>
      <c r="L2" s="167"/>
    </row>
    <row r="3" spans="2:12" x14ac:dyDescent="0.3">
      <c r="B3" s="168"/>
      <c r="L3" s="169"/>
    </row>
    <row r="4" spans="2:12" x14ac:dyDescent="0.3">
      <c r="B4" s="168"/>
      <c r="L4" s="169"/>
    </row>
    <row r="5" spans="2:12" x14ac:dyDescent="0.3">
      <c r="B5" s="168"/>
      <c r="L5" s="169"/>
    </row>
    <row r="6" spans="2:12" x14ac:dyDescent="0.3">
      <c r="B6" s="168"/>
      <c r="L6" s="169"/>
    </row>
    <row r="7" spans="2:12" ht="18.600000000000001" thickBot="1" x14ac:dyDescent="0.35">
      <c r="B7" s="168"/>
      <c r="C7" s="233" t="s">
        <v>665</v>
      </c>
      <c r="D7" s="233"/>
      <c r="E7" s="233"/>
      <c r="F7" s="233"/>
      <c r="G7" s="233"/>
      <c r="H7" s="233"/>
      <c r="I7" s="233"/>
      <c r="J7" s="233"/>
      <c r="K7" s="233"/>
      <c r="L7" s="169"/>
    </row>
    <row r="8" spans="2:12" x14ac:dyDescent="0.3">
      <c r="B8" s="168"/>
      <c r="C8" s="234" t="s">
        <v>669</v>
      </c>
      <c r="D8" s="234"/>
      <c r="E8" s="234"/>
      <c r="F8" s="234"/>
      <c r="G8" s="234"/>
      <c r="H8" s="234"/>
      <c r="I8" s="234"/>
      <c r="J8" s="234"/>
      <c r="K8" s="234"/>
      <c r="L8" s="169"/>
    </row>
    <row r="9" spans="2:12" x14ac:dyDescent="0.3">
      <c r="B9" s="168"/>
      <c r="L9" s="169"/>
    </row>
    <row r="10" spans="2:12" x14ac:dyDescent="0.3">
      <c r="B10" s="168"/>
      <c r="C10" s="210" t="s">
        <v>662</v>
      </c>
      <c r="D10" s="218">
        <v>46022</v>
      </c>
      <c r="L10" s="169"/>
    </row>
    <row r="11" spans="2:12" x14ac:dyDescent="0.3">
      <c r="B11" s="168"/>
      <c r="C11" s="173" t="s">
        <v>667</v>
      </c>
      <c r="D11" s="209"/>
      <c r="L11" s="169"/>
    </row>
    <row r="12" spans="2:12" x14ac:dyDescent="0.3">
      <c r="B12" s="168"/>
      <c r="C12" s="210" t="s">
        <v>666</v>
      </c>
      <c r="D12" s="218" t="s">
        <v>664</v>
      </c>
      <c r="L12" s="169"/>
    </row>
    <row r="13" spans="2:12" x14ac:dyDescent="0.3">
      <c r="B13" s="168"/>
      <c r="C13" s="173" t="s">
        <v>663</v>
      </c>
      <c r="L13" s="169"/>
    </row>
    <row r="14" spans="2:12" x14ac:dyDescent="0.3">
      <c r="B14" s="170"/>
      <c r="C14" s="171"/>
      <c r="D14" s="171"/>
      <c r="E14" s="171"/>
      <c r="F14" s="171"/>
      <c r="G14" s="171"/>
      <c r="H14" s="171"/>
      <c r="I14" s="171"/>
      <c r="J14" s="171"/>
      <c r="K14" s="171"/>
      <c r="L14" s="172"/>
    </row>
  </sheetData>
  <mergeCells count="2">
    <mergeCell ref="C7:K7"/>
    <mergeCell ref="C8:K8"/>
  </mergeCells>
  <dataValidations count="1">
    <dataValidation type="list" allowBlank="1" showInputMessage="1" showErrorMessage="1" sqref="D12" xr:uid="{83E4A690-9A1B-4B09-A9E3-F5218A32A47F}">
      <formula1>#REF!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outlinePr summaryBelow="0" summaryRight="0"/>
  </sheetPr>
  <dimension ref="A1:EL207"/>
  <sheetViews>
    <sheetView showGridLines="0" zoomScale="115" zoomScaleNormal="115" workbookViewId="0">
      <pane xSplit="4" ySplit="3" topLeftCell="CB183" activePane="bottomRight" state="frozen"/>
      <selection pane="topRight" activeCell="E1" sqref="E1"/>
      <selection pane="bottomLeft" activeCell="A4" sqref="A4"/>
      <selection pane="bottomRight" activeCell="CF195" sqref="CF195"/>
    </sheetView>
  </sheetViews>
  <sheetFormatPr defaultColWidth="9.21875" defaultRowHeight="13.8" x14ac:dyDescent="0.3"/>
  <cols>
    <col min="1" max="1" width="1.77734375" style="83" customWidth="1"/>
    <col min="2" max="3" width="36.44140625" style="2" hidden="1" customWidth="1"/>
    <col min="4" max="4" width="72" style="2" customWidth="1"/>
    <col min="5" max="5" width="12" style="1" bestFit="1" customWidth="1"/>
    <col min="6" max="7" width="12.44140625" style="1" bestFit="1" customWidth="1"/>
    <col min="8" max="8" width="11.5546875" style="1" bestFit="1" customWidth="1"/>
    <col min="9" max="11" width="12" style="1" bestFit="1" customWidth="1"/>
    <col min="12" max="12" width="12.44140625" style="1" bestFit="1" customWidth="1"/>
    <col min="13" max="13" width="12" style="1" bestFit="1" customWidth="1"/>
    <col min="14" max="15" width="12.44140625" style="1" bestFit="1" customWidth="1"/>
    <col min="16" max="16" width="12.77734375" style="1" customWidth="1"/>
    <col min="17" max="18" width="12.77734375" style="1" bestFit="1" customWidth="1"/>
    <col min="19" max="20" width="12.44140625" style="1" bestFit="1" customWidth="1"/>
    <col min="21" max="23" width="12.77734375" style="1" bestFit="1" customWidth="1"/>
    <col min="24" max="25" width="12.44140625" style="1" bestFit="1" customWidth="1"/>
    <col min="26" max="30" width="12.77734375" style="1" bestFit="1" customWidth="1"/>
    <col min="31" max="31" width="12.44140625" style="1" bestFit="1" customWidth="1"/>
    <col min="32" max="33" width="12.77734375" style="1" bestFit="1" customWidth="1"/>
    <col min="34" max="34" width="12.44140625" style="1" bestFit="1" customWidth="1"/>
    <col min="35" max="37" width="12.77734375" style="1" customWidth="1"/>
    <col min="38" max="38" width="12.44140625" style="1" bestFit="1" customWidth="1"/>
    <col min="39" max="40" width="12.77734375" style="1" customWidth="1"/>
    <col min="41" max="42" width="12.44140625" style="1" bestFit="1" customWidth="1"/>
    <col min="43" max="43" width="12.77734375" style="1" customWidth="1"/>
    <col min="44" max="44" width="12.44140625" style="1" bestFit="1" customWidth="1"/>
    <col min="45" max="45" width="12.77734375" style="1" customWidth="1"/>
    <col min="46" max="49" width="12.44140625" style="1" bestFit="1" customWidth="1"/>
    <col min="50" max="50" width="12.77734375" style="1" customWidth="1"/>
    <col min="51" max="54" width="12.44140625" style="1" bestFit="1" customWidth="1"/>
    <col min="55" max="55" width="12.77734375" style="1" customWidth="1"/>
    <col min="56" max="56" width="12.44140625" style="1" bestFit="1" customWidth="1"/>
    <col min="57" max="57" width="12" style="1" bestFit="1" customWidth="1"/>
    <col min="58" max="59" width="12.44140625" style="1" bestFit="1" customWidth="1"/>
    <col min="60" max="62" width="12" style="1" bestFit="1" customWidth="1"/>
    <col min="63" max="64" width="12.44140625" style="1" bestFit="1" customWidth="1"/>
    <col min="65" max="65" width="12" style="1" bestFit="1" customWidth="1"/>
    <col min="66" max="66" width="11.5546875" style="1" bestFit="1" customWidth="1"/>
    <col min="67" max="84" width="12.44140625" style="1" bestFit="1" customWidth="1"/>
    <col min="85" max="85" width="9.44140625" style="1" customWidth="1"/>
    <col min="86" max="87" width="12.44140625" style="1" bestFit="1" customWidth="1"/>
    <col min="88" max="90" width="12" style="1" bestFit="1" customWidth="1"/>
    <col min="91" max="93" width="12.44140625" style="1" bestFit="1" customWidth="1"/>
    <col min="94" max="95" width="12.77734375" style="1" bestFit="1" customWidth="1"/>
    <col min="96" max="97" width="12.44140625" style="1" bestFit="1" customWidth="1"/>
    <col min="98" max="99" width="12.77734375" style="1" bestFit="1" customWidth="1"/>
    <col min="100" max="100" width="12.44140625" style="1" bestFit="1" customWidth="1"/>
    <col min="101" max="103" width="12.77734375" style="1" bestFit="1" customWidth="1"/>
    <col min="104" max="104" width="12.44140625" style="1" bestFit="1" customWidth="1"/>
    <col min="105" max="106" width="12.77734375" style="1" bestFit="1" customWidth="1"/>
    <col min="107" max="107" width="12.44140625" style="1" bestFit="1" customWidth="1"/>
    <col min="108" max="109" width="12.77734375" style="1" bestFit="1" customWidth="1"/>
    <col min="110" max="110" width="12.44140625" style="1" bestFit="1" customWidth="1"/>
    <col min="111" max="111" width="12.77734375" style="1" bestFit="1" customWidth="1"/>
    <col min="112" max="115" width="12.44140625" style="1" bestFit="1" customWidth="1"/>
    <col min="116" max="116" width="12.77734375" style="1" bestFit="1" customWidth="1"/>
    <col min="117" max="119" width="12.44140625" style="1" bestFit="1" customWidth="1"/>
    <col min="120" max="120" width="12.77734375" style="1" bestFit="1" customWidth="1"/>
    <col min="121" max="123" width="12.44140625" style="1" bestFit="1" customWidth="1"/>
    <col min="124" max="125" width="12" style="1" bestFit="1" customWidth="1"/>
    <col min="126" max="127" width="12.44140625" style="1" bestFit="1" customWidth="1"/>
    <col min="128" max="128" width="11.5546875" style="1" bestFit="1" customWidth="1"/>
    <col min="129" max="139" width="12.44140625" style="1" bestFit="1" customWidth="1"/>
    <col min="140" max="16384" width="9.21875" style="1"/>
  </cols>
  <sheetData>
    <row r="1" spans="1:142" ht="63.75" customHeight="1" x14ac:dyDescent="0.3">
      <c r="E1" s="58">
        <f t="shared" ref="E1:AJ1" si="0">VALUE(IF(LEN(E2)=4,0,9)&amp;MID(E2,3,2)&amp;LEFT(E2,1))</f>
        <v>71</v>
      </c>
      <c r="F1" s="58">
        <f t="shared" si="0"/>
        <v>72</v>
      </c>
      <c r="G1" s="58">
        <f t="shared" si="0"/>
        <v>73</v>
      </c>
      <c r="H1" s="58">
        <f t="shared" si="0"/>
        <v>74</v>
      </c>
      <c r="I1" s="58">
        <f t="shared" si="0"/>
        <v>81</v>
      </c>
      <c r="J1" s="58">
        <f t="shared" si="0"/>
        <v>82</v>
      </c>
      <c r="K1" s="58">
        <f t="shared" si="0"/>
        <v>83</v>
      </c>
      <c r="L1" s="58">
        <f t="shared" si="0"/>
        <v>84</v>
      </c>
      <c r="M1" s="58">
        <f t="shared" si="0"/>
        <v>91</v>
      </c>
      <c r="N1" s="58">
        <f t="shared" si="0"/>
        <v>92</v>
      </c>
      <c r="O1" s="58">
        <f t="shared" si="0"/>
        <v>93</v>
      </c>
      <c r="P1" s="58">
        <f t="shared" si="0"/>
        <v>94</v>
      </c>
      <c r="Q1" s="58">
        <f t="shared" si="0"/>
        <v>101</v>
      </c>
      <c r="R1" s="58">
        <f t="shared" si="0"/>
        <v>102</v>
      </c>
      <c r="S1" s="58">
        <f t="shared" si="0"/>
        <v>103</v>
      </c>
      <c r="T1" s="58">
        <f t="shared" si="0"/>
        <v>104</v>
      </c>
      <c r="U1" s="58">
        <f t="shared" si="0"/>
        <v>111</v>
      </c>
      <c r="V1" s="58">
        <f t="shared" si="0"/>
        <v>112</v>
      </c>
      <c r="W1" s="58">
        <f t="shared" si="0"/>
        <v>113</v>
      </c>
      <c r="X1" s="58">
        <f t="shared" si="0"/>
        <v>114</v>
      </c>
      <c r="Y1" s="58">
        <f t="shared" si="0"/>
        <v>9121</v>
      </c>
      <c r="Z1" s="58">
        <f t="shared" si="0"/>
        <v>121</v>
      </c>
      <c r="AA1" s="58">
        <f t="shared" si="0"/>
        <v>9122</v>
      </c>
      <c r="AB1" s="58">
        <f t="shared" si="0"/>
        <v>122</v>
      </c>
      <c r="AC1" s="58">
        <f t="shared" si="0"/>
        <v>9123</v>
      </c>
      <c r="AD1" s="58">
        <f t="shared" si="0"/>
        <v>123</v>
      </c>
      <c r="AE1" s="58">
        <f t="shared" si="0"/>
        <v>9124</v>
      </c>
      <c r="AF1" s="58">
        <f t="shared" si="0"/>
        <v>124</v>
      </c>
      <c r="AG1" s="58">
        <f t="shared" si="0"/>
        <v>131</v>
      </c>
      <c r="AH1" s="58">
        <f t="shared" si="0"/>
        <v>132</v>
      </c>
      <c r="AI1" s="58">
        <f t="shared" si="0"/>
        <v>133</v>
      </c>
      <c r="AJ1" s="58">
        <f t="shared" si="0"/>
        <v>134</v>
      </c>
      <c r="AK1" s="58">
        <f t="shared" ref="AK1:BP1" si="1">VALUE(IF(LEN(AK2)=4,0,9)&amp;MID(AK2,3,2)&amp;LEFT(AK2,1))</f>
        <v>141</v>
      </c>
      <c r="AL1" s="58">
        <f t="shared" si="1"/>
        <v>142</v>
      </c>
      <c r="AM1" s="58">
        <f t="shared" si="1"/>
        <v>143</v>
      </c>
      <c r="AN1" s="58">
        <f t="shared" si="1"/>
        <v>144</v>
      </c>
      <c r="AO1" s="58">
        <f t="shared" si="1"/>
        <v>151</v>
      </c>
      <c r="AP1" s="58">
        <f t="shared" si="1"/>
        <v>152</v>
      </c>
      <c r="AQ1" s="58">
        <f t="shared" si="1"/>
        <v>153</v>
      </c>
      <c r="AR1" s="58">
        <f t="shared" si="1"/>
        <v>154</v>
      </c>
      <c r="AS1" s="58">
        <f t="shared" si="1"/>
        <v>161</v>
      </c>
      <c r="AT1" s="58">
        <f t="shared" si="1"/>
        <v>162</v>
      </c>
      <c r="AU1" s="58">
        <f t="shared" si="1"/>
        <v>163</v>
      </c>
      <c r="AV1" s="58">
        <f t="shared" si="1"/>
        <v>164</v>
      </c>
      <c r="AW1" s="58">
        <f t="shared" si="1"/>
        <v>171</v>
      </c>
      <c r="AX1" s="58">
        <f t="shared" si="1"/>
        <v>172</v>
      </c>
      <c r="AY1" s="58">
        <f t="shared" si="1"/>
        <v>173</v>
      </c>
      <c r="AZ1" s="58">
        <f t="shared" si="1"/>
        <v>174</v>
      </c>
      <c r="BA1" s="58">
        <f t="shared" si="1"/>
        <v>181</v>
      </c>
      <c r="BB1" s="58">
        <f t="shared" si="1"/>
        <v>182</v>
      </c>
      <c r="BC1" s="58">
        <f t="shared" si="1"/>
        <v>183</v>
      </c>
      <c r="BD1" s="58">
        <f t="shared" si="1"/>
        <v>184</v>
      </c>
      <c r="BE1" s="58">
        <f t="shared" si="1"/>
        <v>191</v>
      </c>
      <c r="BF1" s="58">
        <f t="shared" si="1"/>
        <v>192</v>
      </c>
      <c r="BG1" s="58">
        <f t="shared" si="1"/>
        <v>193</v>
      </c>
      <c r="BH1" s="58">
        <f t="shared" si="1"/>
        <v>194</v>
      </c>
      <c r="BI1" s="58">
        <f t="shared" si="1"/>
        <v>201</v>
      </c>
      <c r="BJ1" s="58">
        <f t="shared" si="1"/>
        <v>202</v>
      </c>
      <c r="BK1" s="58">
        <f t="shared" si="1"/>
        <v>203</v>
      </c>
      <c r="BL1" s="58">
        <f t="shared" si="1"/>
        <v>204</v>
      </c>
      <c r="BM1" s="58">
        <f t="shared" si="1"/>
        <v>211</v>
      </c>
      <c r="BN1" s="58">
        <f t="shared" si="1"/>
        <v>212</v>
      </c>
      <c r="BO1" s="58">
        <f t="shared" si="1"/>
        <v>213</v>
      </c>
      <c r="BP1" s="58">
        <f t="shared" si="1"/>
        <v>214</v>
      </c>
      <c r="BQ1" s="58">
        <f t="shared" ref="BQ1:CF1" si="2">VALUE(IF(LEN(BQ2)=4,0,9)&amp;MID(BQ2,3,2)&amp;LEFT(BQ2,1))</f>
        <v>221</v>
      </c>
      <c r="BR1" s="58">
        <f t="shared" si="2"/>
        <v>222</v>
      </c>
      <c r="BS1" s="58">
        <f t="shared" si="2"/>
        <v>223</v>
      </c>
      <c r="BT1" s="58">
        <f t="shared" si="2"/>
        <v>224</v>
      </c>
      <c r="BU1" s="58">
        <f t="shared" si="2"/>
        <v>231</v>
      </c>
      <c r="BV1" s="58">
        <f t="shared" si="2"/>
        <v>232</v>
      </c>
      <c r="BW1" s="58">
        <f t="shared" si="2"/>
        <v>233</v>
      </c>
      <c r="BX1" s="58">
        <f t="shared" si="2"/>
        <v>234</v>
      </c>
      <c r="BY1" s="58">
        <f t="shared" si="2"/>
        <v>241</v>
      </c>
      <c r="BZ1" s="58">
        <f t="shared" si="2"/>
        <v>242</v>
      </c>
      <c r="CA1" s="58">
        <f t="shared" si="2"/>
        <v>243</v>
      </c>
      <c r="CB1" s="58">
        <f t="shared" si="2"/>
        <v>244</v>
      </c>
      <c r="CC1" s="58">
        <f t="shared" si="2"/>
        <v>251</v>
      </c>
      <c r="CD1" s="58">
        <f t="shared" si="2"/>
        <v>252</v>
      </c>
      <c r="CE1" s="58">
        <f t="shared" si="2"/>
        <v>253</v>
      </c>
      <c r="CF1" s="58">
        <f t="shared" si="2"/>
        <v>254</v>
      </c>
    </row>
    <row r="2" spans="1:142" s="177" customFormat="1" ht="18" x14ac:dyDescent="0.3">
      <c r="B2" s="178"/>
      <c r="C2" s="178"/>
      <c r="D2" s="178"/>
      <c r="E2" s="179" t="s">
        <v>106</v>
      </c>
      <c r="F2" s="179" t="s">
        <v>105</v>
      </c>
      <c r="G2" s="179" t="s">
        <v>104</v>
      </c>
      <c r="H2" s="179" t="s">
        <v>103</v>
      </c>
      <c r="I2" s="179" t="s">
        <v>102</v>
      </c>
      <c r="J2" s="179" t="s">
        <v>101</v>
      </c>
      <c r="K2" s="179" t="s">
        <v>100</v>
      </c>
      <c r="L2" s="179" t="s">
        <v>99</v>
      </c>
      <c r="M2" s="179" t="s">
        <v>98</v>
      </c>
      <c r="N2" s="179" t="s">
        <v>97</v>
      </c>
      <c r="O2" s="179" t="s">
        <v>96</v>
      </c>
      <c r="P2" s="179" t="s">
        <v>95</v>
      </c>
      <c r="Q2" s="179" t="s">
        <v>94</v>
      </c>
      <c r="R2" s="179" t="s">
        <v>93</v>
      </c>
      <c r="S2" s="179" t="s">
        <v>92</v>
      </c>
      <c r="T2" s="179" t="s">
        <v>91</v>
      </c>
      <c r="U2" s="179" t="s">
        <v>19</v>
      </c>
      <c r="V2" s="179" t="s">
        <v>18</v>
      </c>
      <c r="W2" s="179" t="s">
        <v>17</v>
      </c>
      <c r="X2" s="179" t="s">
        <v>16</v>
      </c>
      <c r="Y2" s="179" t="s">
        <v>327</v>
      </c>
      <c r="Z2" s="179" t="s">
        <v>15</v>
      </c>
      <c r="AA2" s="179" t="s">
        <v>328</v>
      </c>
      <c r="AB2" s="179" t="s">
        <v>14</v>
      </c>
      <c r="AC2" s="179" t="s">
        <v>329</v>
      </c>
      <c r="AD2" s="179" t="s">
        <v>13</v>
      </c>
      <c r="AE2" s="179" t="s">
        <v>330</v>
      </c>
      <c r="AF2" s="179" t="s">
        <v>12</v>
      </c>
      <c r="AG2" s="179" t="s">
        <v>11</v>
      </c>
      <c r="AH2" s="179" t="s">
        <v>10</v>
      </c>
      <c r="AI2" s="179" t="s">
        <v>1</v>
      </c>
      <c r="AJ2" s="179" t="s">
        <v>9</v>
      </c>
      <c r="AK2" s="179" t="s">
        <v>8</v>
      </c>
      <c r="AL2" s="179" t="s">
        <v>7</v>
      </c>
      <c r="AM2" s="179" t="s">
        <v>6</v>
      </c>
      <c r="AN2" s="179" t="s">
        <v>5</v>
      </c>
      <c r="AO2" s="179" t="s">
        <v>4</v>
      </c>
      <c r="AP2" s="179" t="s">
        <v>3</v>
      </c>
      <c r="AQ2" s="179" t="s">
        <v>2</v>
      </c>
      <c r="AR2" s="179" t="s">
        <v>0</v>
      </c>
      <c r="AS2" s="179" t="s">
        <v>355</v>
      </c>
      <c r="AT2" s="179" t="s">
        <v>356</v>
      </c>
      <c r="AU2" s="179" t="s">
        <v>357</v>
      </c>
      <c r="AV2" s="179" t="s">
        <v>358</v>
      </c>
      <c r="AW2" s="179" t="s">
        <v>368</v>
      </c>
      <c r="AX2" s="179" t="s">
        <v>369</v>
      </c>
      <c r="AY2" s="179" t="s">
        <v>372</v>
      </c>
      <c r="AZ2" s="179" t="s">
        <v>373</v>
      </c>
      <c r="BA2" s="179" t="s">
        <v>374</v>
      </c>
      <c r="BB2" s="179" t="s">
        <v>375</v>
      </c>
      <c r="BC2" s="179" t="s">
        <v>376</v>
      </c>
      <c r="BD2" s="179" t="s">
        <v>377</v>
      </c>
      <c r="BE2" s="179" t="s">
        <v>378</v>
      </c>
      <c r="BF2" s="179" t="s">
        <v>530</v>
      </c>
      <c r="BG2" s="179" t="s">
        <v>620</v>
      </c>
      <c r="BH2" s="179" t="s">
        <v>623</v>
      </c>
      <c r="BI2" s="179" t="s">
        <v>635</v>
      </c>
      <c r="BJ2" s="179" t="s">
        <v>637</v>
      </c>
      <c r="BK2" s="179" t="s">
        <v>639</v>
      </c>
      <c r="BL2" s="179" t="s">
        <v>641</v>
      </c>
      <c r="BM2" s="179" t="s">
        <v>644</v>
      </c>
      <c r="BN2" s="179" t="s">
        <v>647</v>
      </c>
      <c r="BO2" s="179" t="s">
        <v>651</v>
      </c>
      <c r="BP2" s="179" t="s">
        <v>654</v>
      </c>
      <c r="BQ2" s="179" t="s">
        <v>658</v>
      </c>
      <c r="BR2" s="179" t="s">
        <v>659</v>
      </c>
      <c r="BS2" s="179" t="s">
        <v>752</v>
      </c>
      <c r="BT2" s="179" t="s">
        <v>757</v>
      </c>
      <c r="BU2" s="179" t="s">
        <v>764</v>
      </c>
      <c r="BV2" s="179" t="s">
        <v>767</v>
      </c>
      <c r="BW2" s="179" t="s">
        <v>769</v>
      </c>
      <c r="BX2" s="179" t="s">
        <v>770</v>
      </c>
      <c r="BY2" s="179" t="s">
        <v>771</v>
      </c>
      <c r="BZ2" s="179" t="s">
        <v>776</v>
      </c>
      <c r="CA2" s="179" t="s">
        <v>778</v>
      </c>
      <c r="CB2" s="179" t="s">
        <v>780</v>
      </c>
      <c r="CC2" s="179" t="s">
        <v>792</v>
      </c>
      <c r="CD2" s="179" t="s">
        <v>795</v>
      </c>
      <c r="CE2" s="179" t="s">
        <v>796</v>
      </c>
      <c r="CF2" s="179" t="s">
        <v>797</v>
      </c>
      <c r="CH2" s="179" t="s">
        <v>531</v>
      </c>
      <c r="CI2" s="179" t="s">
        <v>532</v>
      </c>
      <c r="CJ2" s="179">
        <v>2007</v>
      </c>
      <c r="CK2" s="179" t="s">
        <v>533</v>
      </c>
      <c r="CL2" s="179" t="s">
        <v>534</v>
      </c>
      <c r="CM2" s="179">
        <v>2008</v>
      </c>
      <c r="CN2" s="179" t="s">
        <v>535</v>
      </c>
      <c r="CO2" s="179" t="s">
        <v>536</v>
      </c>
      <c r="CP2" s="179">
        <v>2009</v>
      </c>
      <c r="CQ2" s="179" t="s">
        <v>537</v>
      </c>
      <c r="CR2" s="179" t="s">
        <v>538</v>
      </c>
      <c r="CS2" s="179">
        <v>2010</v>
      </c>
      <c r="CT2" s="179" t="s">
        <v>539</v>
      </c>
      <c r="CU2" s="179" t="s">
        <v>540</v>
      </c>
      <c r="CV2" s="179">
        <v>2011</v>
      </c>
      <c r="CW2" s="179" t="s">
        <v>541</v>
      </c>
      <c r="CX2" s="179" t="s">
        <v>542</v>
      </c>
      <c r="CY2" s="179">
        <v>2012</v>
      </c>
      <c r="CZ2" s="179" t="s">
        <v>543</v>
      </c>
      <c r="DA2" s="179" t="s">
        <v>544</v>
      </c>
      <c r="DB2" s="179">
        <v>2013</v>
      </c>
      <c r="DC2" s="179" t="s">
        <v>545</v>
      </c>
      <c r="DD2" s="179" t="s">
        <v>546</v>
      </c>
      <c r="DE2" s="179">
        <v>2014</v>
      </c>
      <c r="DF2" s="179" t="s">
        <v>547</v>
      </c>
      <c r="DG2" s="179" t="s">
        <v>548</v>
      </c>
      <c r="DH2" s="179">
        <v>2015</v>
      </c>
      <c r="DI2" s="179" t="s">
        <v>549</v>
      </c>
      <c r="DJ2" s="179" t="s">
        <v>550</v>
      </c>
      <c r="DK2" s="179">
        <v>2016</v>
      </c>
      <c r="DL2" s="179" t="s">
        <v>551</v>
      </c>
      <c r="DM2" s="179" t="s">
        <v>552</v>
      </c>
      <c r="DN2" s="179">
        <v>2017</v>
      </c>
      <c r="DO2" s="179" t="s">
        <v>553</v>
      </c>
      <c r="DP2" s="179" t="s">
        <v>554</v>
      </c>
      <c r="DQ2" s="179">
        <v>2018</v>
      </c>
      <c r="DR2" s="179" t="s">
        <v>555</v>
      </c>
      <c r="DS2" s="179" t="s">
        <v>621</v>
      </c>
      <c r="DT2" s="179">
        <v>2019</v>
      </c>
      <c r="DU2" s="179" t="s">
        <v>638</v>
      </c>
      <c r="DV2" s="179" t="s">
        <v>640</v>
      </c>
      <c r="DW2" s="179">
        <v>2020</v>
      </c>
      <c r="DX2" s="179" t="s">
        <v>648</v>
      </c>
      <c r="DY2" s="179" t="s">
        <v>655</v>
      </c>
      <c r="DZ2" s="179">
        <v>2021</v>
      </c>
      <c r="EA2" s="179" t="s">
        <v>661</v>
      </c>
      <c r="EB2" s="177" t="s">
        <v>753</v>
      </c>
      <c r="EC2" s="179">
        <v>2022</v>
      </c>
      <c r="ED2" s="179" t="s">
        <v>765</v>
      </c>
      <c r="EE2" s="177" t="s">
        <v>766</v>
      </c>
      <c r="EF2" s="179">
        <v>2023</v>
      </c>
      <c r="EG2" s="179" t="s">
        <v>773</v>
      </c>
      <c r="EH2" s="177" t="s">
        <v>774</v>
      </c>
      <c r="EI2" s="179">
        <v>2024</v>
      </c>
      <c r="EJ2" s="179" t="s">
        <v>793</v>
      </c>
      <c r="EK2" s="177" t="s">
        <v>794</v>
      </c>
      <c r="EL2" s="179">
        <v>2025</v>
      </c>
    </row>
    <row r="3" spans="1:142" s="59" customFormat="1" ht="18.600000000000001" thickBot="1" x14ac:dyDescent="0.4">
      <c r="A3" s="84"/>
      <c r="B3" s="157" t="s">
        <v>107</v>
      </c>
      <c r="C3" s="157" t="s">
        <v>505</v>
      </c>
      <c r="D3" s="157" t="str">
        <f>IF(Menu!$D$12="PT",'Dados Financeiros'!B3,'Dados Financeiros'!C3)</f>
        <v>Trimestre</v>
      </c>
      <c r="E3" s="176" t="str">
        <f>IF(Menu!$D$12="PT",'Dados Financeiros'!E2,IF(MID('Dados Financeiros'!E2,2,1)="T",MID('Dados Financeiros'!E2,1,1)&amp;"Q"&amp;MID('Dados Financeiros'!E2,3,2),IF(MID('Dados Financeiros'!E2,2,1)="S",MID('Dados Financeiros'!E2,1,1)&amp;"H"&amp;MID('Dados Financeiros'!E2,3,2),IF(MID('Dados Financeiros'!E2,2,1)="M",MID('Dados Financeiros'!E2,1,1)&amp;"M"&amp;MID('Dados Financeiros'!E2,3,2),'Dados Financeiros'!E2))))</f>
        <v>1T07</v>
      </c>
      <c r="F3" s="176" t="str">
        <f>IF(Menu!$D$12="PT",'Dados Financeiros'!F2,IF(MID('Dados Financeiros'!F2,2,1)="T",MID('Dados Financeiros'!F2,1,1)&amp;"Q"&amp;MID('Dados Financeiros'!F2,3,2),IF(MID('Dados Financeiros'!F2,2,1)="S",MID('Dados Financeiros'!F2,1,1)&amp;"H"&amp;MID('Dados Financeiros'!F2,3,2),IF(MID('Dados Financeiros'!F2,2,1)="M",MID('Dados Financeiros'!F2,1,1)&amp;"M"&amp;MID('Dados Financeiros'!F2,3,2),'Dados Financeiros'!F2))))</f>
        <v>2T07</v>
      </c>
      <c r="G3" s="176" t="str">
        <f>IF(Menu!$D$12="PT",'Dados Financeiros'!G2,IF(MID('Dados Financeiros'!G2,2,1)="T",MID('Dados Financeiros'!G2,1,1)&amp;"Q"&amp;MID('Dados Financeiros'!G2,3,2),IF(MID('Dados Financeiros'!G2,2,1)="S",MID('Dados Financeiros'!G2,1,1)&amp;"H"&amp;MID('Dados Financeiros'!G2,3,2),IF(MID('Dados Financeiros'!G2,2,1)="M",MID('Dados Financeiros'!G2,1,1)&amp;"M"&amp;MID('Dados Financeiros'!G2,3,2),'Dados Financeiros'!G2))))</f>
        <v>3T07</v>
      </c>
      <c r="H3" s="176" t="str">
        <f>IF(Menu!$D$12="PT",'Dados Financeiros'!H2,IF(MID('Dados Financeiros'!H2,2,1)="T",MID('Dados Financeiros'!H2,1,1)&amp;"Q"&amp;MID('Dados Financeiros'!H2,3,2),IF(MID('Dados Financeiros'!H2,2,1)="S",MID('Dados Financeiros'!H2,1,1)&amp;"H"&amp;MID('Dados Financeiros'!H2,3,2),IF(MID('Dados Financeiros'!H2,2,1)="M",MID('Dados Financeiros'!H2,1,1)&amp;"M"&amp;MID('Dados Financeiros'!H2,3,2),'Dados Financeiros'!H2))))</f>
        <v>4T07</v>
      </c>
      <c r="I3" s="176" t="str">
        <f>IF(Menu!$D$12="PT",'Dados Financeiros'!I2,IF(MID('Dados Financeiros'!I2,2,1)="T",MID('Dados Financeiros'!I2,1,1)&amp;"Q"&amp;MID('Dados Financeiros'!I2,3,2),IF(MID('Dados Financeiros'!I2,2,1)="S",MID('Dados Financeiros'!I2,1,1)&amp;"H"&amp;MID('Dados Financeiros'!I2,3,2),IF(MID('Dados Financeiros'!I2,2,1)="M",MID('Dados Financeiros'!I2,1,1)&amp;"M"&amp;MID('Dados Financeiros'!I2,3,2),'Dados Financeiros'!I2))))</f>
        <v>1T08</v>
      </c>
      <c r="J3" s="176" t="str">
        <f>IF(Menu!$D$12="PT",'Dados Financeiros'!J2,IF(MID('Dados Financeiros'!J2,2,1)="T",MID('Dados Financeiros'!J2,1,1)&amp;"Q"&amp;MID('Dados Financeiros'!J2,3,2),IF(MID('Dados Financeiros'!J2,2,1)="S",MID('Dados Financeiros'!J2,1,1)&amp;"H"&amp;MID('Dados Financeiros'!J2,3,2),IF(MID('Dados Financeiros'!J2,2,1)="M",MID('Dados Financeiros'!J2,1,1)&amp;"M"&amp;MID('Dados Financeiros'!J2,3,2),'Dados Financeiros'!J2))))</f>
        <v>2T08</v>
      </c>
      <c r="K3" s="176" t="str">
        <f>IF(Menu!$D$12="PT",'Dados Financeiros'!K2,IF(MID('Dados Financeiros'!K2,2,1)="T",MID('Dados Financeiros'!K2,1,1)&amp;"Q"&amp;MID('Dados Financeiros'!K2,3,2),IF(MID('Dados Financeiros'!K2,2,1)="S",MID('Dados Financeiros'!K2,1,1)&amp;"H"&amp;MID('Dados Financeiros'!K2,3,2),IF(MID('Dados Financeiros'!K2,2,1)="M",MID('Dados Financeiros'!K2,1,1)&amp;"M"&amp;MID('Dados Financeiros'!K2,3,2),'Dados Financeiros'!K2))))</f>
        <v>3T08</v>
      </c>
      <c r="L3" s="176" t="str">
        <f>IF(Menu!$D$12="PT",'Dados Financeiros'!L2,IF(MID('Dados Financeiros'!L2,2,1)="T",MID('Dados Financeiros'!L2,1,1)&amp;"Q"&amp;MID('Dados Financeiros'!L2,3,2),IF(MID('Dados Financeiros'!L2,2,1)="S",MID('Dados Financeiros'!L2,1,1)&amp;"H"&amp;MID('Dados Financeiros'!L2,3,2),IF(MID('Dados Financeiros'!L2,2,1)="M",MID('Dados Financeiros'!L2,1,1)&amp;"M"&amp;MID('Dados Financeiros'!L2,3,2),'Dados Financeiros'!L2))))</f>
        <v>4T08</v>
      </c>
      <c r="M3" s="176" t="str">
        <f>IF(Menu!$D$12="PT",'Dados Financeiros'!M2,IF(MID('Dados Financeiros'!M2,2,1)="T",MID('Dados Financeiros'!M2,1,1)&amp;"Q"&amp;MID('Dados Financeiros'!M2,3,2),IF(MID('Dados Financeiros'!M2,2,1)="S",MID('Dados Financeiros'!M2,1,1)&amp;"H"&amp;MID('Dados Financeiros'!M2,3,2),IF(MID('Dados Financeiros'!M2,2,1)="M",MID('Dados Financeiros'!M2,1,1)&amp;"M"&amp;MID('Dados Financeiros'!M2,3,2),'Dados Financeiros'!M2))))</f>
        <v>1T09</v>
      </c>
      <c r="N3" s="176" t="str">
        <f>IF(Menu!$D$12="PT",'Dados Financeiros'!N2,IF(MID('Dados Financeiros'!N2,2,1)="T",MID('Dados Financeiros'!N2,1,1)&amp;"Q"&amp;MID('Dados Financeiros'!N2,3,2),IF(MID('Dados Financeiros'!N2,2,1)="S",MID('Dados Financeiros'!N2,1,1)&amp;"H"&amp;MID('Dados Financeiros'!N2,3,2),IF(MID('Dados Financeiros'!N2,2,1)="M",MID('Dados Financeiros'!N2,1,1)&amp;"M"&amp;MID('Dados Financeiros'!N2,3,2),'Dados Financeiros'!N2))))</f>
        <v>2T09</v>
      </c>
      <c r="O3" s="176" t="str">
        <f>IF(Menu!$D$12="PT",'Dados Financeiros'!O2,IF(MID('Dados Financeiros'!O2,2,1)="T",MID('Dados Financeiros'!O2,1,1)&amp;"Q"&amp;MID('Dados Financeiros'!O2,3,2),IF(MID('Dados Financeiros'!O2,2,1)="S",MID('Dados Financeiros'!O2,1,1)&amp;"H"&amp;MID('Dados Financeiros'!O2,3,2),IF(MID('Dados Financeiros'!O2,2,1)="M",MID('Dados Financeiros'!O2,1,1)&amp;"M"&amp;MID('Dados Financeiros'!O2,3,2),'Dados Financeiros'!O2))))</f>
        <v>3T09</v>
      </c>
      <c r="P3" s="176" t="str">
        <f>IF(Menu!$D$12="PT",'Dados Financeiros'!P2,IF(MID('Dados Financeiros'!P2,2,1)="T",MID('Dados Financeiros'!P2,1,1)&amp;"Q"&amp;MID('Dados Financeiros'!P2,3,2),IF(MID('Dados Financeiros'!P2,2,1)="S",MID('Dados Financeiros'!P2,1,1)&amp;"H"&amp;MID('Dados Financeiros'!P2,3,2),IF(MID('Dados Financeiros'!P2,2,1)="M",MID('Dados Financeiros'!P2,1,1)&amp;"M"&amp;MID('Dados Financeiros'!P2,3,2),'Dados Financeiros'!P2))))</f>
        <v>4T09</v>
      </c>
      <c r="Q3" s="176" t="str">
        <f>IF(Menu!$D$12="PT",'Dados Financeiros'!Q2,IF(MID('Dados Financeiros'!Q2,2,1)="T",MID('Dados Financeiros'!Q2,1,1)&amp;"Q"&amp;MID('Dados Financeiros'!Q2,3,2),IF(MID('Dados Financeiros'!Q2,2,1)="S",MID('Dados Financeiros'!Q2,1,1)&amp;"H"&amp;MID('Dados Financeiros'!Q2,3,2),IF(MID('Dados Financeiros'!Q2,2,1)="M",MID('Dados Financeiros'!Q2,1,1)&amp;"M"&amp;MID('Dados Financeiros'!Q2,3,2),'Dados Financeiros'!Q2))))</f>
        <v>1T10</v>
      </c>
      <c r="R3" s="176" t="str">
        <f>IF(Menu!$D$12="PT",'Dados Financeiros'!R2,IF(MID('Dados Financeiros'!R2,2,1)="T",MID('Dados Financeiros'!R2,1,1)&amp;"Q"&amp;MID('Dados Financeiros'!R2,3,2),IF(MID('Dados Financeiros'!R2,2,1)="S",MID('Dados Financeiros'!R2,1,1)&amp;"H"&amp;MID('Dados Financeiros'!R2,3,2),IF(MID('Dados Financeiros'!R2,2,1)="M",MID('Dados Financeiros'!R2,1,1)&amp;"M"&amp;MID('Dados Financeiros'!R2,3,2),'Dados Financeiros'!R2))))</f>
        <v>2T10</v>
      </c>
      <c r="S3" s="176" t="str">
        <f>IF(Menu!$D$12="PT",'Dados Financeiros'!S2,IF(MID('Dados Financeiros'!S2,2,1)="T",MID('Dados Financeiros'!S2,1,1)&amp;"Q"&amp;MID('Dados Financeiros'!S2,3,2),IF(MID('Dados Financeiros'!S2,2,1)="S",MID('Dados Financeiros'!S2,1,1)&amp;"H"&amp;MID('Dados Financeiros'!S2,3,2),IF(MID('Dados Financeiros'!S2,2,1)="M",MID('Dados Financeiros'!S2,1,1)&amp;"M"&amp;MID('Dados Financeiros'!S2,3,2),'Dados Financeiros'!S2))))</f>
        <v>3T10</v>
      </c>
      <c r="T3" s="176" t="str">
        <f>IF(Menu!$D$12="PT",'Dados Financeiros'!T2,IF(MID('Dados Financeiros'!T2,2,1)="T",MID('Dados Financeiros'!T2,1,1)&amp;"Q"&amp;MID('Dados Financeiros'!T2,3,2),IF(MID('Dados Financeiros'!T2,2,1)="S",MID('Dados Financeiros'!T2,1,1)&amp;"H"&amp;MID('Dados Financeiros'!T2,3,2),IF(MID('Dados Financeiros'!T2,2,1)="M",MID('Dados Financeiros'!T2,1,1)&amp;"M"&amp;MID('Dados Financeiros'!T2,3,2),'Dados Financeiros'!T2))))</f>
        <v>4T10</v>
      </c>
      <c r="U3" s="176" t="str">
        <f>IF(Menu!$D$12="PT",'Dados Financeiros'!U2,IF(MID('Dados Financeiros'!U2,2,1)="T",MID('Dados Financeiros'!U2,1,1)&amp;"Q"&amp;MID('Dados Financeiros'!U2,3,2),IF(MID('Dados Financeiros'!U2,2,1)="S",MID('Dados Financeiros'!U2,1,1)&amp;"H"&amp;MID('Dados Financeiros'!U2,3,2),IF(MID('Dados Financeiros'!U2,2,1)="M",MID('Dados Financeiros'!U2,1,1)&amp;"M"&amp;MID('Dados Financeiros'!U2,3,2),'Dados Financeiros'!U2))))</f>
        <v>1T11</v>
      </c>
      <c r="V3" s="176" t="str">
        <f>IF(Menu!$D$12="PT",'Dados Financeiros'!V2,IF(MID('Dados Financeiros'!V2,2,1)="T",MID('Dados Financeiros'!V2,1,1)&amp;"Q"&amp;MID('Dados Financeiros'!V2,3,2),IF(MID('Dados Financeiros'!V2,2,1)="S",MID('Dados Financeiros'!V2,1,1)&amp;"H"&amp;MID('Dados Financeiros'!V2,3,2),IF(MID('Dados Financeiros'!V2,2,1)="M",MID('Dados Financeiros'!V2,1,1)&amp;"M"&amp;MID('Dados Financeiros'!V2,3,2),'Dados Financeiros'!V2))))</f>
        <v>2T11</v>
      </c>
      <c r="W3" s="176" t="str">
        <f>IF(Menu!$D$12="PT",'Dados Financeiros'!W2,IF(MID('Dados Financeiros'!W2,2,1)="T",MID('Dados Financeiros'!W2,1,1)&amp;"Q"&amp;MID('Dados Financeiros'!W2,3,2),IF(MID('Dados Financeiros'!W2,2,1)="S",MID('Dados Financeiros'!W2,1,1)&amp;"H"&amp;MID('Dados Financeiros'!W2,3,2),IF(MID('Dados Financeiros'!W2,2,1)="M",MID('Dados Financeiros'!W2,1,1)&amp;"M"&amp;MID('Dados Financeiros'!W2,3,2),'Dados Financeiros'!W2))))</f>
        <v>3T11</v>
      </c>
      <c r="X3" s="176" t="str">
        <f>IF(Menu!$D$12="PT",'Dados Financeiros'!X2,IF(MID('Dados Financeiros'!X2,2,1)="T",MID('Dados Financeiros'!X2,1,1)&amp;"Q"&amp;MID('Dados Financeiros'!X2,3,2),IF(MID('Dados Financeiros'!X2,2,1)="S",MID('Dados Financeiros'!X2,1,1)&amp;"H"&amp;MID('Dados Financeiros'!X2,3,2),IF(MID('Dados Financeiros'!X2,2,1)="M",MID('Dados Financeiros'!X2,1,1)&amp;"M"&amp;MID('Dados Financeiros'!X2,3,2),'Dados Financeiros'!X2))))</f>
        <v>4T11</v>
      </c>
      <c r="Y3" s="176" t="str">
        <f>IF(Menu!$D$12="PT",'Dados Financeiros'!Y2,IF(MID('Dados Financeiros'!Y2,2,1)="T",MID('Dados Financeiros'!Y2,1,1)&amp;"Q"&amp;MID('Dados Financeiros'!Y2,3,2),IF(MID('Dados Financeiros'!Y2,2,1)="S",MID('Dados Financeiros'!Y2,1,1)&amp;"H"&amp;MID('Dados Financeiros'!Y2,3,2),IF(MID('Dados Financeiros'!Y2,2,1)="M",MID('Dados Financeiros'!Y2,1,1)&amp;"M"&amp;MID('Dados Financeiros'!Y2,3,2),'Dados Financeiros'!Y2))))</f>
        <v>1T12*</v>
      </c>
      <c r="Z3" s="176" t="str">
        <f>IF(Menu!$D$12="PT",'Dados Financeiros'!Z2,IF(MID('Dados Financeiros'!Z2,2,1)="T",MID('Dados Financeiros'!Z2,1,1)&amp;"Q"&amp;MID('Dados Financeiros'!Z2,3,2),IF(MID('Dados Financeiros'!Z2,2,1)="S",MID('Dados Financeiros'!Z2,1,1)&amp;"H"&amp;MID('Dados Financeiros'!Z2,3,2),IF(MID('Dados Financeiros'!Z2,2,1)="M",MID('Dados Financeiros'!Z2,1,1)&amp;"M"&amp;MID('Dados Financeiros'!Z2,3,2),'Dados Financeiros'!Z2))))</f>
        <v>1T12</v>
      </c>
      <c r="AA3" s="176" t="str">
        <f>IF(Menu!$D$12="PT",'Dados Financeiros'!AA2,IF(MID('Dados Financeiros'!AA2,2,1)="T",MID('Dados Financeiros'!AA2,1,1)&amp;"Q"&amp;MID('Dados Financeiros'!AA2,3,2),IF(MID('Dados Financeiros'!AA2,2,1)="S",MID('Dados Financeiros'!AA2,1,1)&amp;"H"&amp;MID('Dados Financeiros'!AA2,3,2),IF(MID('Dados Financeiros'!AA2,2,1)="M",MID('Dados Financeiros'!AA2,1,1)&amp;"M"&amp;MID('Dados Financeiros'!AA2,3,2),'Dados Financeiros'!AA2))))</f>
        <v>2T12*</v>
      </c>
      <c r="AB3" s="176" t="str">
        <f>IF(Menu!$D$12="PT",'Dados Financeiros'!AB2,IF(MID('Dados Financeiros'!AB2,2,1)="T",MID('Dados Financeiros'!AB2,1,1)&amp;"Q"&amp;MID('Dados Financeiros'!AB2,3,2),IF(MID('Dados Financeiros'!AB2,2,1)="S",MID('Dados Financeiros'!AB2,1,1)&amp;"H"&amp;MID('Dados Financeiros'!AB2,3,2),IF(MID('Dados Financeiros'!AB2,2,1)="M",MID('Dados Financeiros'!AB2,1,1)&amp;"M"&amp;MID('Dados Financeiros'!AB2,3,2),'Dados Financeiros'!AB2))))</f>
        <v>2T12</v>
      </c>
      <c r="AC3" s="176" t="str">
        <f>IF(Menu!$D$12="PT",'Dados Financeiros'!AC2,IF(MID('Dados Financeiros'!AC2,2,1)="T",MID('Dados Financeiros'!AC2,1,1)&amp;"Q"&amp;MID('Dados Financeiros'!AC2,3,2),IF(MID('Dados Financeiros'!AC2,2,1)="S",MID('Dados Financeiros'!AC2,1,1)&amp;"H"&amp;MID('Dados Financeiros'!AC2,3,2),IF(MID('Dados Financeiros'!AC2,2,1)="M",MID('Dados Financeiros'!AC2,1,1)&amp;"M"&amp;MID('Dados Financeiros'!AC2,3,2),'Dados Financeiros'!AC2))))</f>
        <v>3T12*</v>
      </c>
      <c r="AD3" s="176" t="str">
        <f>IF(Menu!$D$12="PT",'Dados Financeiros'!AD2,IF(MID('Dados Financeiros'!AD2,2,1)="T",MID('Dados Financeiros'!AD2,1,1)&amp;"Q"&amp;MID('Dados Financeiros'!AD2,3,2),IF(MID('Dados Financeiros'!AD2,2,1)="S",MID('Dados Financeiros'!AD2,1,1)&amp;"H"&amp;MID('Dados Financeiros'!AD2,3,2),IF(MID('Dados Financeiros'!AD2,2,1)="M",MID('Dados Financeiros'!AD2,1,1)&amp;"M"&amp;MID('Dados Financeiros'!AD2,3,2),'Dados Financeiros'!AD2))))</f>
        <v>3T12</v>
      </c>
      <c r="AE3" s="176" t="str">
        <f>IF(Menu!$D$12="PT",'Dados Financeiros'!AE2,IF(MID('Dados Financeiros'!AE2,2,1)="T",MID('Dados Financeiros'!AE2,1,1)&amp;"Q"&amp;MID('Dados Financeiros'!AE2,3,2),IF(MID('Dados Financeiros'!AE2,2,1)="S",MID('Dados Financeiros'!AE2,1,1)&amp;"H"&amp;MID('Dados Financeiros'!AE2,3,2),IF(MID('Dados Financeiros'!AE2,2,1)="M",MID('Dados Financeiros'!AE2,1,1)&amp;"M"&amp;MID('Dados Financeiros'!AE2,3,2),'Dados Financeiros'!AE2))))</f>
        <v>4T12*</v>
      </c>
      <c r="AF3" s="176" t="str">
        <f>IF(Menu!$D$12="PT",'Dados Financeiros'!AF2,IF(MID('Dados Financeiros'!AF2,2,1)="T",MID('Dados Financeiros'!AF2,1,1)&amp;"Q"&amp;MID('Dados Financeiros'!AF2,3,2),IF(MID('Dados Financeiros'!AF2,2,1)="S",MID('Dados Financeiros'!AF2,1,1)&amp;"H"&amp;MID('Dados Financeiros'!AF2,3,2),IF(MID('Dados Financeiros'!AF2,2,1)="M",MID('Dados Financeiros'!AF2,1,1)&amp;"M"&amp;MID('Dados Financeiros'!AF2,3,2),'Dados Financeiros'!AF2))))</f>
        <v>4T12</v>
      </c>
      <c r="AG3" s="176" t="str">
        <f>IF(Menu!$D$12="PT",'Dados Financeiros'!AG2,IF(MID('Dados Financeiros'!AG2,2,1)="T",MID('Dados Financeiros'!AG2,1,1)&amp;"Q"&amp;MID('Dados Financeiros'!AG2,3,2),IF(MID('Dados Financeiros'!AG2,2,1)="S",MID('Dados Financeiros'!AG2,1,1)&amp;"H"&amp;MID('Dados Financeiros'!AG2,3,2),IF(MID('Dados Financeiros'!AG2,2,1)="M",MID('Dados Financeiros'!AG2,1,1)&amp;"M"&amp;MID('Dados Financeiros'!AG2,3,2),'Dados Financeiros'!AG2))))</f>
        <v>1T13</v>
      </c>
      <c r="AH3" s="176" t="str">
        <f>IF(Menu!$D$12="PT",'Dados Financeiros'!AH2,IF(MID('Dados Financeiros'!AH2,2,1)="T",MID('Dados Financeiros'!AH2,1,1)&amp;"Q"&amp;MID('Dados Financeiros'!AH2,3,2),IF(MID('Dados Financeiros'!AH2,2,1)="S",MID('Dados Financeiros'!AH2,1,1)&amp;"H"&amp;MID('Dados Financeiros'!AH2,3,2),IF(MID('Dados Financeiros'!AH2,2,1)="M",MID('Dados Financeiros'!AH2,1,1)&amp;"M"&amp;MID('Dados Financeiros'!AH2,3,2),'Dados Financeiros'!AH2))))</f>
        <v>2T13</v>
      </c>
      <c r="AI3" s="176" t="str">
        <f>IF(Menu!$D$12="PT",'Dados Financeiros'!AI2,IF(MID('Dados Financeiros'!AI2,2,1)="T",MID('Dados Financeiros'!AI2,1,1)&amp;"Q"&amp;MID('Dados Financeiros'!AI2,3,2),IF(MID('Dados Financeiros'!AI2,2,1)="S",MID('Dados Financeiros'!AI2,1,1)&amp;"H"&amp;MID('Dados Financeiros'!AI2,3,2),IF(MID('Dados Financeiros'!AI2,2,1)="M",MID('Dados Financeiros'!AI2,1,1)&amp;"M"&amp;MID('Dados Financeiros'!AI2,3,2),'Dados Financeiros'!AI2))))</f>
        <v>3T13</v>
      </c>
      <c r="AJ3" s="176" t="str">
        <f>IF(Menu!$D$12="PT",'Dados Financeiros'!AJ2,IF(MID('Dados Financeiros'!AJ2,2,1)="T",MID('Dados Financeiros'!AJ2,1,1)&amp;"Q"&amp;MID('Dados Financeiros'!AJ2,3,2),IF(MID('Dados Financeiros'!AJ2,2,1)="S",MID('Dados Financeiros'!AJ2,1,1)&amp;"H"&amp;MID('Dados Financeiros'!AJ2,3,2),IF(MID('Dados Financeiros'!AJ2,2,1)="M",MID('Dados Financeiros'!AJ2,1,1)&amp;"M"&amp;MID('Dados Financeiros'!AJ2,3,2),'Dados Financeiros'!AJ2))))</f>
        <v>4T13</v>
      </c>
      <c r="AK3" s="176" t="str">
        <f>IF(Menu!$D$12="PT",'Dados Financeiros'!AK2,IF(MID('Dados Financeiros'!AK2,2,1)="T",MID('Dados Financeiros'!AK2,1,1)&amp;"Q"&amp;MID('Dados Financeiros'!AK2,3,2),IF(MID('Dados Financeiros'!AK2,2,1)="S",MID('Dados Financeiros'!AK2,1,1)&amp;"H"&amp;MID('Dados Financeiros'!AK2,3,2),IF(MID('Dados Financeiros'!AK2,2,1)="M",MID('Dados Financeiros'!AK2,1,1)&amp;"M"&amp;MID('Dados Financeiros'!AK2,3,2),'Dados Financeiros'!AK2))))</f>
        <v>1T14</v>
      </c>
      <c r="AL3" s="176" t="str">
        <f>IF(Menu!$D$12="PT",'Dados Financeiros'!AL2,IF(MID('Dados Financeiros'!AL2,2,1)="T",MID('Dados Financeiros'!AL2,1,1)&amp;"Q"&amp;MID('Dados Financeiros'!AL2,3,2),IF(MID('Dados Financeiros'!AL2,2,1)="S",MID('Dados Financeiros'!AL2,1,1)&amp;"H"&amp;MID('Dados Financeiros'!AL2,3,2),IF(MID('Dados Financeiros'!AL2,2,1)="M",MID('Dados Financeiros'!AL2,1,1)&amp;"M"&amp;MID('Dados Financeiros'!AL2,3,2),'Dados Financeiros'!AL2))))</f>
        <v>2T14</v>
      </c>
      <c r="AM3" s="176" t="str">
        <f>IF(Menu!$D$12="PT",'Dados Financeiros'!AM2,IF(MID('Dados Financeiros'!AM2,2,1)="T",MID('Dados Financeiros'!AM2,1,1)&amp;"Q"&amp;MID('Dados Financeiros'!AM2,3,2),IF(MID('Dados Financeiros'!AM2,2,1)="S",MID('Dados Financeiros'!AM2,1,1)&amp;"H"&amp;MID('Dados Financeiros'!AM2,3,2),IF(MID('Dados Financeiros'!AM2,2,1)="M",MID('Dados Financeiros'!AM2,1,1)&amp;"M"&amp;MID('Dados Financeiros'!AM2,3,2),'Dados Financeiros'!AM2))))</f>
        <v>3T14</v>
      </c>
      <c r="AN3" s="176" t="str">
        <f>IF(Menu!$D$12="PT",'Dados Financeiros'!AN2,IF(MID('Dados Financeiros'!AN2,2,1)="T",MID('Dados Financeiros'!AN2,1,1)&amp;"Q"&amp;MID('Dados Financeiros'!AN2,3,2),IF(MID('Dados Financeiros'!AN2,2,1)="S",MID('Dados Financeiros'!AN2,1,1)&amp;"H"&amp;MID('Dados Financeiros'!AN2,3,2),IF(MID('Dados Financeiros'!AN2,2,1)="M",MID('Dados Financeiros'!AN2,1,1)&amp;"M"&amp;MID('Dados Financeiros'!AN2,3,2),'Dados Financeiros'!AN2))))</f>
        <v>4T14</v>
      </c>
      <c r="AO3" s="176" t="str">
        <f>IF(Menu!$D$12="PT",'Dados Financeiros'!AO2,IF(MID('Dados Financeiros'!AO2,2,1)="T",MID('Dados Financeiros'!AO2,1,1)&amp;"Q"&amp;MID('Dados Financeiros'!AO2,3,2),IF(MID('Dados Financeiros'!AO2,2,1)="S",MID('Dados Financeiros'!AO2,1,1)&amp;"H"&amp;MID('Dados Financeiros'!AO2,3,2),IF(MID('Dados Financeiros'!AO2,2,1)="M",MID('Dados Financeiros'!AO2,1,1)&amp;"M"&amp;MID('Dados Financeiros'!AO2,3,2),'Dados Financeiros'!AO2))))</f>
        <v>1T15</v>
      </c>
      <c r="AP3" s="176" t="str">
        <f>IF(Menu!$D$12="PT",'Dados Financeiros'!AP2,IF(MID('Dados Financeiros'!AP2,2,1)="T",MID('Dados Financeiros'!AP2,1,1)&amp;"Q"&amp;MID('Dados Financeiros'!AP2,3,2),IF(MID('Dados Financeiros'!AP2,2,1)="S",MID('Dados Financeiros'!AP2,1,1)&amp;"H"&amp;MID('Dados Financeiros'!AP2,3,2),IF(MID('Dados Financeiros'!AP2,2,1)="M",MID('Dados Financeiros'!AP2,1,1)&amp;"M"&amp;MID('Dados Financeiros'!AP2,3,2),'Dados Financeiros'!AP2))))</f>
        <v>2T15</v>
      </c>
      <c r="AQ3" s="176" t="str">
        <f>IF(Menu!$D$12="PT",'Dados Financeiros'!AQ2,IF(MID('Dados Financeiros'!AQ2,2,1)="T",MID('Dados Financeiros'!AQ2,1,1)&amp;"Q"&amp;MID('Dados Financeiros'!AQ2,3,2),IF(MID('Dados Financeiros'!AQ2,2,1)="S",MID('Dados Financeiros'!AQ2,1,1)&amp;"H"&amp;MID('Dados Financeiros'!AQ2,3,2),IF(MID('Dados Financeiros'!AQ2,2,1)="M",MID('Dados Financeiros'!AQ2,1,1)&amp;"M"&amp;MID('Dados Financeiros'!AQ2,3,2),'Dados Financeiros'!AQ2))))</f>
        <v>3T15</v>
      </c>
      <c r="AR3" s="176" t="str">
        <f>IF(Menu!$D$12="PT",'Dados Financeiros'!AR2,IF(MID('Dados Financeiros'!AR2,2,1)="T",MID('Dados Financeiros'!AR2,1,1)&amp;"Q"&amp;MID('Dados Financeiros'!AR2,3,2),IF(MID('Dados Financeiros'!AR2,2,1)="S",MID('Dados Financeiros'!AR2,1,1)&amp;"H"&amp;MID('Dados Financeiros'!AR2,3,2),IF(MID('Dados Financeiros'!AR2,2,1)="M",MID('Dados Financeiros'!AR2,1,1)&amp;"M"&amp;MID('Dados Financeiros'!AR2,3,2),'Dados Financeiros'!AR2))))</f>
        <v>4T15</v>
      </c>
      <c r="AS3" s="176" t="str">
        <f>IF(Menu!$D$12="PT",'Dados Financeiros'!AS2,IF(MID('Dados Financeiros'!AS2,2,1)="T",MID('Dados Financeiros'!AS2,1,1)&amp;"Q"&amp;MID('Dados Financeiros'!AS2,3,2),IF(MID('Dados Financeiros'!AS2,2,1)="S",MID('Dados Financeiros'!AS2,1,1)&amp;"H"&amp;MID('Dados Financeiros'!AS2,3,2),IF(MID('Dados Financeiros'!AS2,2,1)="M",MID('Dados Financeiros'!AS2,1,1)&amp;"M"&amp;MID('Dados Financeiros'!AS2,3,2),'Dados Financeiros'!AS2))))</f>
        <v>1T16</v>
      </c>
      <c r="AT3" s="176" t="str">
        <f>IF(Menu!$D$12="PT",'Dados Financeiros'!AT2,IF(MID('Dados Financeiros'!AT2,2,1)="T",MID('Dados Financeiros'!AT2,1,1)&amp;"Q"&amp;MID('Dados Financeiros'!AT2,3,2),IF(MID('Dados Financeiros'!AT2,2,1)="S",MID('Dados Financeiros'!AT2,1,1)&amp;"H"&amp;MID('Dados Financeiros'!AT2,3,2),IF(MID('Dados Financeiros'!AT2,2,1)="M",MID('Dados Financeiros'!AT2,1,1)&amp;"M"&amp;MID('Dados Financeiros'!AT2,3,2),'Dados Financeiros'!AT2))))</f>
        <v>2T16</v>
      </c>
      <c r="AU3" s="176" t="str">
        <f>IF(Menu!$D$12="PT",'Dados Financeiros'!AU2,IF(MID('Dados Financeiros'!AU2,2,1)="T",MID('Dados Financeiros'!AU2,1,1)&amp;"Q"&amp;MID('Dados Financeiros'!AU2,3,2),IF(MID('Dados Financeiros'!AU2,2,1)="S",MID('Dados Financeiros'!AU2,1,1)&amp;"H"&amp;MID('Dados Financeiros'!AU2,3,2),IF(MID('Dados Financeiros'!AU2,2,1)="M",MID('Dados Financeiros'!AU2,1,1)&amp;"M"&amp;MID('Dados Financeiros'!AU2,3,2),'Dados Financeiros'!AU2))))</f>
        <v>3T16</v>
      </c>
      <c r="AV3" s="176" t="str">
        <f>IF(Menu!$D$12="PT",'Dados Financeiros'!AV2,IF(MID('Dados Financeiros'!AV2,2,1)="T",MID('Dados Financeiros'!AV2,1,1)&amp;"Q"&amp;MID('Dados Financeiros'!AV2,3,2),IF(MID('Dados Financeiros'!AV2,2,1)="S",MID('Dados Financeiros'!AV2,1,1)&amp;"H"&amp;MID('Dados Financeiros'!AV2,3,2),IF(MID('Dados Financeiros'!AV2,2,1)="M",MID('Dados Financeiros'!AV2,1,1)&amp;"M"&amp;MID('Dados Financeiros'!AV2,3,2),'Dados Financeiros'!AV2))))</f>
        <v>4T16</v>
      </c>
      <c r="AW3" s="176" t="str">
        <f>IF(Menu!$D$12="PT",'Dados Financeiros'!AW2,IF(MID('Dados Financeiros'!AW2,2,1)="T",MID('Dados Financeiros'!AW2,1,1)&amp;"Q"&amp;MID('Dados Financeiros'!AW2,3,2),IF(MID('Dados Financeiros'!AW2,2,1)="S",MID('Dados Financeiros'!AW2,1,1)&amp;"H"&amp;MID('Dados Financeiros'!AW2,3,2),IF(MID('Dados Financeiros'!AW2,2,1)="M",MID('Dados Financeiros'!AW2,1,1)&amp;"M"&amp;MID('Dados Financeiros'!AW2,3,2),'Dados Financeiros'!AW2))))</f>
        <v>1T17</v>
      </c>
      <c r="AX3" s="176" t="str">
        <f>IF(Menu!$D$12="PT",'Dados Financeiros'!AX2,IF(MID('Dados Financeiros'!AX2,2,1)="T",MID('Dados Financeiros'!AX2,1,1)&amp;"Q"&amp;MID('Dados Financeiros'!AX2,3,2),IF(MID('Dados Financeiros'!AX2,2,1)="S",MID('Dados Financeiros'!AX2,1,1)&amp;"H"&amp;MID('Dados Financeiros'!AX2,3,2),IF(MID('Dados Financeiros'!AX2,2,1)="M",MID('Dados Financeiros'!AX2,1,1)&amp;"M"&amp;MID('Dados Financeiros'!AX2,3,2),'Dados Financeiros'!AX2))))</f>
        <v>2T17</v>
      </c>
      <c r="AY3" s="176" t="str">
        <f>IF(Menu!$D$12="PT",'Dados Financeiros'!AY2,IF(MID('Dados Financeiros'!AY2,2,1)="T",MID('Dados Financeiros'!AY2,1,1)&amp;"Q"&amp;MID('Dados Financeiros'!AY2,3,2),IF(MID('Dados Financeiros'!AY2,2,1)="S",MID('Dados Financeiros'!AY2,1,1)&amp;"H"&amp;MID('Dados Financeiros'!AY2,3,2),IF(MID('Dados Financeiros'!AY2,2,1)="M",MID('Dados Financeiros'!AY2,1,1)&amp;"M"&amp;MID('Dados Financeiros'!AY2,3,2),'Dados Financeiros'!AY2))))</f>
        <v>3T17</v>
      </c>
      <c r="AZ3" s="176" t="str">
        <f>IF(Menu!$D$12="PT",'Dados Financeiros'!AZ2,IF(MID('Dados Financeiros'!AZ2,2,1)="T",MID('Dados Financeiros'!AZ2,1,1)&amp;"Q"&amp;MID('Dados Financeiros'!AZ2,3,2),IF(MID('Dados Financeiros'!AZ2,2,1)="S",MID('Dados Financeiros'!AZ2,1,1)&amp;"H"&amp;MID('Dados Financeiros'!AZ2,3,2),IF(MID('Dados Financeiros'!AZ2,2,1)="M",MID('Dados Financeiros'!AZ2,1,1)&amp;"M"&amp;MID('Dados Financeiros'!AZ2,3,2),'Dados Financeiros'!AZ2))))</f>
        <v>4T17</v>
      </c>
      <c r="BA3" s="176" t="str">
        <f>IF(Menu!$D$12="PT",'Dados Financeiros'!BA2,IF(MID('Dados Financeiros'!BA2,2,1)="T",MID('Dados Financeiros'!BA2,1,1)&amp;"Q"&amp;MID('Dados Financeiros'!BA2,3,2),IF(MID('Dados Financeiros'!BA2,2,1)="S",MID('Dados Financeiros'!BA2,1,1)&amp;"H"&amp;MID('Dados Financeiros'!BA2,3,2),IF(MID('Dados Financeiros'!BA2,2,1)="M",MID('Dados Financeiros'!BA2,1,1)&amp;"M"&amp;MID('Dados Financeiros'!BA2,3,2),'Dados Financeiros'!BA2))))</f>
        <v>1T18</v>
      </c>
      <c r="BB3" s="176" t="str">
        <f>IF(Menu!$D$12="PT",'Dados Financeiros'!BB2,IF(MID('Dados Financeiros'!BB2,2,1)="T",MID('Dados Financeiros'!BB2,1,1)&amp;"Q"&amp;MID('Dados Financeiros'!BB2,3,2),IF(MID('Dados Financeiros'!BB2,2,1)="S",MID('Dados Financeiros'!BB2,1,1)&amp;"H"&amp;MID('Dados Financeiros'!BB2,3,2),IF(MID('Dados Financeiros'!BB2,2,1)="M",MID('Dados Financeiros'!BB2,1,1)&amp;"M"&amp;MID('Dados Financeiros'!BB2,3,2),'Dados Financeiros'!BB2))))</f>
        <v>2T18</v>
      </c>
      <c r="BC3" s="176" t="str">
        <f>IF(Menu!$D$12="PT",'Dados Financeiros'!BC2,IF(MID('Dados Financeiros'!BC2,2,1)="T",MID('Dados Financeiros'!BC2,1,1)&amp;"Q"&amp;MID('Dados Financeiros'!BC2,3,2),IF(MID('Dados Financeiros'!BC2,2,1)="S",MID('Dados Financeiros'!BC2,1,1)&amp;"H"&amp;MID('Dados Financeiros'!BC2,3,2),IF(MID('Dados Financeiros'!BC2,2,1)="M",MID('Dados Financeiros'!BC2,1,1)&amp;"M"&amp;MID('Dados Financeiros'!BC2,3,2),'Dados Financeiros'!BC2))))</f>
        <v>3T18</v>
      </c>
      <c r="BD3" s="176" t="str">
        <f>IF(Menu!$D$12="PT",'Dados Financeiros'!BD2,IF(MID('Dados Financeiros'!BD2,2,1)="T",MID('Dados Financeiros'!BD2,1,1)&amp;"Q"&amp;MID('Dados Financeiros'!BD2,3,2),IF(MID('Dados Financeiros'!BD2,2,1)="S",MID('Dados Financeiros'!BD2,1,1)&amp;"H"&amp;MID('Dados Financeiros'!BD2,3,2),IF(MID('Dados Financeiros'!BD2,2,1)="M",MID('Dados Financeiros'!BD2,1,1)&amp;"M"&amp;MID('Dados Financeiros'!BD2,3,2),'Dados Financeiros'!BD2))))</f>
        <v>4T18</v>
      </c>
      <c r="BE3" s="176" t="str">
        <f>IF(Menu!$D$12="PT",'Dados Financeiros'!BE2,IF(MID('Dados Financeiros'!BE2,2,1)="T",MID('Dados Financeiros'!BE2,1,1)&amp;"Q"&amp;MID('Dados Financeiros'!BE2,3,2),IF(MID('Dados Financeiros'!BE2,2,1)="S",MID('Dados Financeiros'!BE2,1,1)&amp;"H"&amp;MID('Dados Financeiros'!BE2,3,2),IF(MID('Dados Financeiros'!BE2,2,1)="M",MID('Dados Financeiros'!BE2,1,1)&amp;"M"&amp;MID('Dados Financeiros'!BE2,3,2),'Dados Financeiros'!BE2))))</f>
        <v>1T19</v>
      </c>
      <c r="BF3" s="176" t="str">
        <f>IF(Menu!$D$12="PT",'Dados Financeiros'!BF2,IF(MID('Dados Financeiros'!BF2,2,1)="T",MID('Dados Financeiros'!BF2,1,1)&amp;"Q"&amp;MID('Dados Financeiros'!BF2,3,2),IF(MID('Dados Financeiros'!BF2,2,1)="S",MID('Dados Financeiros'!BF2,1,1)&amp;"H"&amp;MID('Dados Financeiros'!BF2,3,2),IF(MID('Dados Financeiros'!BF2,2,1)="M",MID('Dados Financeiros'!BF2,1,1)&amp;"M"&amp;MID('Dados Financeiros'!BF2,3,2),'Dados Financeiros'!BF2))))</f>
        <v>2T19</v>
      </c>
      <c r="BG3" s="176" t="str">
        <f>IF(Menu!$D$12="PT",'Dados Financeiros'!BG2,IF(MID('Dados Financeiros'!BG2,2,1)="T",MID('Dados Financeiros'!BG2,1,1)&amp;"Q"&amp;MID('Dados Financeiros'!BG2,3,2),IF(MID('Dados Financeiros'!BG2,2,1)="S",MID('Dados Financeiros'!BG2,1,1)&amp;"H"&amp;MID('Dados Financeiros'!BG2,3,2),IF(MID('Dados Financeiros'!BG2,2,1)="M",MID('Dados Financeiros'!BG2,1,1)&amp;"M"&amp;MID('Dados Financeiros'!BG2,3,2),'Dados Financeiros'!BG2))))</f>
        <v>3T19</v>
      </c>
      <c r="BH3" s="176" t="str">
        <f>IF(Menu!$D$12="PT",'Dados Financeiros'!BH2,IF(MID('Dados Financeiros'!BH2,2,1)="T",MID('Dados Financeiros'!BH2,1,1)&amp;"Q"&amp;MID('Dados Financeiros'!BH2,3,2),IF(MID('Dados Financeiros'!BH2,2,1)="S",MID('Dados Financeiros'!BH2,1,1)&amp;"H"&amp;MID('Dados Financeiros'!BH2,3,2),IF(MID('Dados Financeiros'!BH2,2,1)="M",MID('Dados Financeiros'!BH2,1,1)&amp;"M"&amp;MID('Dados Financeiros'!BH2,3,2),'Dados Financeiros'!BH2))))</f>
        <v>4T19</v>
      </c>
      <c r="BI3" s="176" t="str">
        <f>IF(Menu!$D$12="PT",'Dados Financeiros'!BI2,IF(MID('Dados Financeiros'!BI2,2,1)="T",MID('Dados Financeiros'!BI2,1,1)&amp;"Q"&amp;MID('Dados Financeiros'!BI2,3,2),IF(MID('Dados Financeiros'!BI2,2,1)="S",MID('Dados Financeiros'!BI2,1,1)&amp;"H"&amp;MID('Dados Financeiros'!BI2,3,2),IF(MID('Dados Financeiros'!BI2,2,1)="M",MID('Dados Financeiros'!BI2,1,1)&amp;"M"&amp;MID('Dados Financeiros'!BI2,3,2),'Dados Financeiros'!BI2))))</f>
        <v>1T20</v>
      </c>
      <c r="BJ3" s="176" t="str">
        <f>IF(Menu!$D$12="PT",'Dados Financeiros'!BJ2,IF(MID('Dados Financeiros'!BJ2,2,1)="T",MID('Dados Financeiros'!BJ2,1,1)&amp;"Q"&amp;MID('Dados Financeiros'!BJ2,3,2),IF(MID('Dados Financeiros'!BJ2,2,1)="S",MID('Dados Financeiros'!BJ2,1,1)&amp;"H"&amp;MID('Dados Financeiros'!BJ2,3,2),IF(MID('Dados Financeiros'!BJ2,2,1)="M",MID('Dados Financeiros'!BJ2,1,1)&amp;"M"&amp;MID('Dados Financeiros'!BJ2,3,2),'Dados Financeiros'!BJ2))))</f>
        <v>2T20</v>
      </c>
      <c r="BK3" s="176" t="str">
        <f>IF(Menu!$D$12="PT",'Dados Financeiros'!BK2,IF(MID('Dados Financeiros'!BK2,2,1)="T",MID('Dados Financeiros'!BK2,1,1)&amp;"Q"&amp;MID('Dados Financeiros'!BK2,3,2),IF(MID('Dados Financeiros'!BK2,2,1)="S",MID('Dados Financeiros'!BK2,1,1)&amp;"H"&amp;MID('Dados Financeiros'!BK2,3,2),IF(MID('Dados Financeiros'!BK2,2,1)="M",MID('Dados Financeiros'!BK2,1,1)&amp;"M"&amp;MID('Dados Financeiros'!BK2,3,2),'Dados Financeiros'!BK2))))</f>
        <v>3T20</v>
      </c>
      <c r="BL3" s="176" t="str">
        <f>IF(Menu!$D$12="PT",'Dados Financeiros'!BL2,IF(MID('Dados Financeiros'!BL2,2,1)="T",MID('Dados Financeiros'!BL2,1,1)&amp;"Q"&amp;MID('Dados Financeiros'!BL2,3,2),IF(MID('Dados Financeiros'!BL2,2,1)="S",MID('Dados Financeiros'!BL2,1,1)&amp;"H"&amp;MID('Dados Financeiros'!BL2,3,2),IF(MID('Dados Financeiros'!BL2,2,1)="M",MID('Dados Financeiros'!BL2,1,1)&amp;"M"&amp;MID('Dados Financeiros'!BL2,3,2),'Dados Financeiros'!BL2))))</f>
        <v>4T20</v>
      </c>
      <c r="BM3" s="176" t="str">
        <f>IF(Menu!$D$12="PT",'Dados Financeiros'!BM2,IF(MID('Dados Financeiros'!BM2,2,1)="T",MID('Dados Financeiros'!BM2,1,1)&amp;"Q"&amp;MID('Dados Financeiros'!BM2,3,2),IF(MID('Dados Financeiros'!BM2,2,1)="S",MID('Dados Financeiros'!BM2,1,1)&amp;"H"&amp;MID('Dados Financeiros'!BM2,3,2),IF(MID('Dados Financeiros'!BM2,2,1)="M",MID('Dados Financeiros'!BM2,1,1)&amp;"M"&amp;MID('Dados Financeiros'!BM2,3,2),'Dados Financeiros'!BM2))))</f>
        <v>1T21</v>
      </c>
      <c r="BN3" s="176" t="str">
        <f>IF(Menu!$D$12="PT",'Dados Financeiros'!BN2,IF(MID('Dados Financeiros'!BN2,2,1)="T",MID('Dados Financeiros'!BN2,1,1)&amp;"Q"&amp;MID('Dados Financeiros'!BN2,3,2),IF(MID('Dados Financeiros'!BN2,2,1)="S",MID('Dados Financeiros'!BN2,1,1)&amp;"H"&amp;MID('Dados Financeiros'!BN2,3,2),IF(MID('Dados Financeiros'!BN2,2,1)="M",MID('Dados Financeiros'!BN2,1,1)&amp;"M"&amp;MID('Dados Financeiros'!BN2,3,2),'Dados Financeiros'!BN2))))</f>
        <v>2T21</v>
      </c>
      <c r="BO3" s="176" t="str">
        <f>IF(Menu!$D$12="PT",'Dados Financeiros'!BO2,IF(MID('Dados Financeiros'!BO2,2,1)="T",MID('Dados Financeiros'!BO2,1,1)&amp;"Q"&amp;MID('Dados Financeiros'!BO2,3,2),IF(MID('Dados Financeiros'!BO2,2,1)="S",MID('Dados Financeiros'!BO2,1,1)&amp;"H"&amp;MID('Dados Financeiros'!BO2,3,2),IF(MID('Dados Financeiros'!BO2,2,1)="M",MID('Dados Financeiros'!BO2,1,1)&amp;"M"&amp;MID('Dados Financeiros'!BO2,3,2),'Dados Financeiros'!BO2))))</f>
        <v>3T21</v>
      </c>
      <c r="BP3" s="176" t="str">
        <f>IF(Menu!$D$12="PT",'Dados Financeiros'!BP2,IF(MID('Dados Financeiros'!BP2,2,1)="T",MID('Dados Financeiros'!BP2,1,1)&amp;"Q"&amp;MID('Dados Financeiros'!BP2,3,2),IF(MID('Dados Financeiros'!BP2,2,1)="S",MID('Dados Financeiros'!BP2,1,1)&amp;"H"&amp;MID('Dados Financeiros'!BP2,3,2),IF(MID('Dados Financeiros'!BP2,2,1)="M",MID('Dados Financeiros'!BP2,1,1)&amp;"M"&amp;MID('Dados Financeiros'!BP2,3,2),'Dados Financeiros'!BP2))))</f>
        <v>4T21</v>
      </c>
      <c r="BQ3" s="176" t="str">
        <f>IF(Menu!$D$12="PT",'Dados Financeiros'!BQ2,IF(MID('Dados Financeiros'!BQ2,2,1)="T",MID('Dados Financeiros'!BQ2,1,1)&amp;"Q"&amp;MID('Dados Financeiros'!BQ2,3,2),IF(MID('Dados Financeiros'!BQ2,2,1)="S",MID('Dados Financeiros'!BQ2,1,1)&amp;"H"&amp;MID('Dados Financeiros'!BQ2,3,2),IF(MID('Dados Financeiros'!BQ2,2,1)="M",MID('Dados Financeiros'!BQ2,1,1)&amp;"M"&amp;MID('Dados Financeiros'!BQ2,3,2),'Dados Financeiros'!BQ2))))</f>
        <v>1T22</v>
      </c>
      <c r="BR3" s="176" t="str">
        <f>IF(Menu!$D$12="PT",'Dados Financeiros'!BR2,IF(MID('Dados Financeiros'!BR2,2,1)="T",MID('Dados Financeiros'!BR2,1,1)&amp;"Q"&amp;MID('Dados Financeiros'!BR2,3,2),IF(MID('Dados Financeiros'!BR2,2,1)="S",MID('Dados Financeiros'!BR2,1,1)&amp;"H"&amp;MID('Dados Financeiros'!BR2,3,2),IF(MID('Dados Financeiros'!BR2,2,1)="M",MID('Dados Financeiros'!BR2,1,1)&amp;"M"&amp;MID('Dados Financeiros'!BR2,3,2),'Dados Financeiros'!BR2))))</f>
        <v>2T22</v>
      </c>
      <c r="BS3" s="176" t="str">
        <f>IF(Menu!$D$12="PT",'Dados Financeiros'!BS2,IF(MID('Dados Financeiros'!BS2,2,1)="T",MID('Dados Financeiros'!BS2,1,1)&amp;"Q"&amp;MID('Dados Financeiros'!BS2,3,2),IF(MID('Dados Financeiros'!BS2,2,1)="S",MID('Dados Financeiros'!BS2,1,1)&amp;"H"&amp;MID('Dados Financeiros'!BS2,3,2),IF(MID('Dados Financeiros'!BS2,2,1)="M",MID('Dados Financeiros'!BS2,1,1)&amp;"M"&amp;MID('Dados Financeiros'!BS2,3,2),'Dados Financeiros'!BS2))))</f>
        <v>3T22</v>
      </c>
      <c r="BT3" s="176" t="str">
        <f>IF(Menu!$D$12="PT",'Dados Financeiros'!BT2,IF(MID('Dados Financeiros'!BT2,2,1)="T",MID('Dados Financeiros'!BT2,1,1)&amp;"Q"&amp;MID('Dados Financeiros'!BT2,3,2),IF(MID('Dados Financeiros'!BT2,2,1)="S",MID('Dados Financeiros'!BT2,1,1)&amp;"H"&amp;MID('Dados Financeiros'!BT2,3,2),IF(MID('Dados Financeiros'!BT2,2,1)="M",MID('Dados Financeiros'!BT2,1,1)&amp;"M"&amp;MID('Dados Financeiros'!BT2,3,2),'Dados Financeiros'!BT2))))</f>
        <v>4T22</v>
      </c>
      <c r="BU3" s="176" t="str">
        <f>IF(Menu!$D$12="PT",'Dados Financeiros'!BU2,IF(MID('Dados Financeiros'!BU2,2,1)="T",MID('Dados Financeiros'!BU2,1,1)&amp;"Q"&amp;MID('Dados Financeiros'!BU2,3,2),IF(MID('Dados Financeiros'!BU2,2,1)="S",MID('Dados Financeiros'!BU2,1,1)&amp;"H"&amp;MID('Dados Financeiros'!BU2,3,2),IF(MID('Dados Financeiros'!BU2,2,1)="M",MID('Dados Financeiros'!BU2,1,1)&amp;"M"&amp;MID('Dados Financeiros'!BU2,3,2),'Dados Financeiros'!BU2))))</f>
        <v>1T23</v>
      </c>
      <c r="BV3" s="176" t="str">
        <f>IF(Menu!$D$12="PT",'Dados Financeiros'!BV2,IF(MID('Dados Financeiros'!BV2,2,1)="T",MID('Dados Financeiros'!BV2,1,1)&amp;"Q"&amp;MID('Dados Financeiros'!BV2,3,2),IF(MID('Dados Financeiros'!BV2,2,1)="S",MID('Dados Financeiros'!BV2,1,1)&amp;"H"&amp;MID('Dados Financeiros'!BV2,3,2),IF(MID('Dados Financeiros'!BV2,2,1)="M",MID('Dados Financeiros'!BV2,1,1)&amp;"M"&amp;MID('Dados Financeiros'!BV2,3,2),'Dados Financeiros'!BV2))))</f>
        <v>2T23</v>
      </c>
      <c r="BW3" s="176" t="str">
        <f>IF(Menu!$D$12="PT",'Dados Financeiros'!BW2,IF(MID('Dados Financeiros'!BW2,2,1)="T",MID('Dados Financeiros'!BW2,1,1)&amp;"Q"&amp;MID('Dados Financeiros'!BW2,3,2),IF(MID('Dados Financeiros'!BW2,2,1)="S",MID('Dados Financeiros'!BW2,1,1)&amp;"H"&amp;MID('Dados Financeiros'!BW2,3,2),IF(MID('Dados Financeiros'!BW2,2,1)="M",MID('Dados Financeiros'!BW2,1,1)&amp;"M"&amp;MID('Dados Financeiros'!BW2,3,2),'Dados Financeiros'!BW2))))</f>
        <v>3T23</v>
      </c>
      <c r="BX3" s="176" t="str">
        <f>IF(Menu!$D$12="PT",'Dados Financeiros'!BX2,IF(MID('Dados Financeiros'!BX2,2,1)="T",MID('Dados Financeiros'!BX2,1,1)&amp;"Q"&amp;MID('Dados Financeiros'!BX2,3,2),IF(MID('Dados Financeiros'!BX2,2,1)="S",MID('Dados Financeiros'!BX2,1,1)&amp;"H"&amp;MID('Dados Financeiros'!BX2,3,2),IF(MID('Dados Financeiros'!BX2,2,1)="M",MID('Dados Financeiros'!BX2,1,1)&amp;"M"&amp;MID('Dados Financeiros'!BX2,3,2),'Dados Financeiros'!BX2))))</f>
        <v>4T23</v>
      </c>
      <c r="BY3" s="176" t="str">
        <f>IF(Menu!$D$12="PT",'Dados Financeiros'!BY2,IF(MID('Dados Financeiros'!BY2,2,1)="T",MID('Dados Financeiros'!BY2,1,1)&amp;"Q"&amp;MID('Dados Financeiros'!BY2,3,2),IF(MID('Dados Financeiros'!BY2,2,1)="S",MID('Dados Financeiros'!BY2,1,1)&amp;"H"&amp;MID('Dados Financeiros'!BY2,3,2),IF(MID('Dados Financeiros'!BY2,2,1)="M",MID('Dados Financeiros'!BY2,1,1)&amp;"M"&amp;MID('Dados Financeiros'!BY2,3,2),'Dados Financeiros'!BY2))))</f>
        <v>1T24</v>
      </c>
      <c r="BZ3" s="176" t="str">
        <f>IF(Menu!$D$12="PT",'Dados Financeiros'!BZ2,IF(MID('Dados Financeiros'!BZ2,2,1)="T",MID('Dados Financeiros'!BZ2,1,1)&amp;"Q"&amp;MID('Dados Financeiros'!BZ2,3,2),IF(MID('Dados Financeiros'!BZ2,2,1)="S",MID('Dados Financeiros'!BZ2,1,1)&amp;"H"&amp;MID('Dados Financeiros'!BZ2,3,2),IF(MID('Dados Financeiros'!BZ2,2,1)="M",MID('Dados Financeiros'!BZ2,1,1)&amp;"M"&amp;MID('Dados Financeiros'!BZ2,3,2),'Dados Financeiros'!BZ2))))</f>
        <v>2T24</v>
      </c>
      <c r="CA3" s="176" t="str">
        <f>IF(Menu!$D$12="PT",'Dados Financeiros'!CA2,IF(MID('Dados Financeiros'!CA2,2,1)="T",MID('Dados Financeiros'!CA2,1,1)&amp;"Q"&amp;MID('Dados Financeiros'!CA2,3,2),IF(MID('Dados Financeiros'!CA2,2,1)="S",MID('Dados Financeiros'!CA2,1,1)&amp;"H"&amp;MID('Dados Financeiros'!CA2,3,2),IF(MID('Dados Financeiros'!CA2,2,1)="M",MID('Dados Financeiros'!CA2,1,1)&amp;"M"&amp;MID('Dados Financeiros'!CA2,3,2),'Dados Financeiros'!CA2))))</f>
        <v>3T24</v>
      </c>
      <c r="CB3" s="176" t="str">
        <f>IF(Menu!$D$12="PT",'Dados Financeiros'!CB2,IF(MID('Dados Financeiros'!CB2,2,1)="T",MID('Dados Financeiros'!CB2,1,1)&amp;"Q"&amp;MID('Dados Financeiros'!CB2,3,2),IF(MID('Dados Financeiros'!CB2,2,1)="S",MID('Dados Financeiros'!CB2,1,1)&amp;"H"&amp;MID('Dados Financeiros'!CB2,3,2),IF(MID('Dados Financeiros'!CB2,2,1)="M",MID('Dados Financeiros'!CB2,1,1)&amp;"M"&amp;MID('Dados Financeiros'!CB2,3,2),'Dados Financeiros'!CB2))))</f>
        <v>4T24</v>
      </c>
      <c r="CC3" s="176" t="str" cm="1">
        <f t="array" ref="CC3">IF(Menu!$D$12="PT",'Dados Financeiros'!CC2,IF(DXT.TEXTO('Dados Financeiros'!CC2,2,1)="T",MID('Dados Financeiros'!CC2,1,1)&amp;"Q"&amp;MID('Dados Financeiros'!CC2,3,2),IF(DXT.TEXTO('Dados Financeiros'!CC2,2,1)="S",MID('Dados Financeiros'!CC2,1,1)&amp;"H"&amp;MID('Dados Financeiros'!CC2,3,2),IF(DXT.TEXTO('Dados Financeiros'!CC2,2,1)="M",MID('Dados Financeiros'!CC2,1,1)&amp;"M"&amp;MID('Dados Financeiros'!CC2,3,2),'Dados Financeiros'!CC2))))</f>
        <v>1T25</v>
      </c>
      <c r="CD3" s="176" t="str" cm="1">
        <f t="array" ref="CD3">IF(Menu!$D$12="PT",'Dados Financeiros'!CD2,IF(DXT.TEXTO('Dados Financeiros'!CD2,2,1)="T",MID('Dados Financeiros'!CD2,1,1)&amp;"Q"&amp;MID('Dados Financeiros'!CD2,3,2),IF(DXT.TEXTO('Dados Financeiros'!CD2,2,1)="S",MID('Dados Financeiros'!CD2,1,1)&amp;"H"&amp;MID('Dados Financeiros'!CD2,3,2),IF(DXT.TEXTO('Dados Financeiros'!CD2,2,1)="M",MID('Dados Financeiros'!CD2,1,1)&amp;"M"&amp;MID('Dados Financeiros'!CD2,3,2),'Dados Financeiros'!CD2))))</f>
        <v>2T25</v>
      </c>
      <c r="CE3" s="176" t="str" cm="1">
        <f t="array" ref="CE3">IF(Menu!$D$12="PT",'Dados Financeiros'!CE2,IF(DXT.TEXTO('Dados Financeiros'!CE2,2,1)="T",MID('Dados Financeiros'!CE2,1,1)&amp;"Q"&amp;MID('Dados Financeiros'!CE2,3,2),IF(DXT.TEXTO('Dados Financeiros'!CE2,2,1)="S",MID('Dados Financeiros'!CE2,1,1)&amp;"H"&amp;MID('Dados Financeiros'!CE2,3,2),IF(DXT.TEXTO('Dados Financeiros'!CE2,2,1)="M",MID('Dados Financeiros'!CE2,1,1)&amp;"M"&amp;MID('Dados Financeiros'!CE2,3,2),'Dados Financeiros'!CE2))))</f>
        <v>3T25</v>
      </c>
      <c r="CF3" s="176" t="str" cm="1">
        <f t="array" ref="CF3">IF(Menu!$D$12="PT",'Dados Financeiros'!CF2,IF(DXT.TEXTO('Dados Financeiros'!CF2,2,1)="T",MID('Dados Financeiros'!CF2,1,1)&amp;"Q"&amp;MID('Dados Financeiros'!CF2,3,2),IF(DXT.TEXTO('Dados Financeiros'!CF2,2,1)="S",MID('Dados Financeiros'!CF2,1,1)&amp;"H"&amp;MID('Dados Financeiros'!CF2,3,2),IF(DXT.TEXTO('Dados Financeiros'!CF2,2,1)="M",MID('Dados Financeiros'!CF2,1,1)&amp;"M"&amp;MID('Dados Financeiros'!CF2,3,2),'Dados Financeiros'!CF2))))</f>
        <v>4T25</v>
      </c>
      <c r="CG3" s="156"/>
      <c r="CH3" s="176" t="str">
        <f>IF(Menu!$D$12="PT",'Dados Financeiros'!CH2,IF(MID('Dados Financeiros'!CH2,2,1)="T",MID('Dados Financeiros'!CH2,1,1)&amp;"Q"&amp;MID('Dados Financeiros'!CH2,3,2),IF(MID('Dados Financeiros'!CH2,2,1)="S",MID('Dados Financeiros'!CH2,1,1)&amp;"H"&amp;MID('Dados Financeiros'!CH2,3,2),IF(MID('Dados Financeiros'!CH2,2,1)="M",MID('Dados Financeiros'!CH2,1,1)&amp;"M"&amp;MID('Dados Financeiros'!CH2,3,2),'Dados Financeiros'!CH2))))</f>
        <v>1S07</v>
      </c>
      <c r="CI3" s="176" t="str">
        <f>IF(Menu!$D$12="PT",'Dados Financeiros'!CI2,IF(MID('Dados Financeiros'!CI2,2,1)="T",MID('Dados Financeiros'!CI2,1,1)&amp;"Q"&amp;MID('Dados Financeiros'!CI2,3,2),IF(MID('Dados Financeiros'!CI2,2,1)="S",MID('Dados Financeiros'!CI2,1,1)&amp;"H"&amp;MID('Dados Financeiros'!CI2,3,2),IF(MID('Dados Financeiros'!CI2,2,1)="M",MID('Dados Financeiros'!CI2,1,1)&amp;"M"&amp;MID('Dados Financeiros'!CI2,3,2),'Dados Financeiros'!CI2))))</f>
        <v>9M07</v>
      </c>
      <c r="CJ3" s="176">
        <f>IF(Menu!$D$12="PT",'Dados Financeiros'!CJ2,IF(MID('Dados Financeiros'!CJ2,2,1)="T",MID('Dados Financeiros'!CJ2,1,1)&amp;"Q"&amp;MID('Dados Financeiros'!CJ2,3,2),IF(MID('Dados Financeiros'!CJ2,2,1)="S",MID('Dados Financeiros'!CJ2,1,1)&amp;"H"&amp;MID('Dados Financeiros'!CJ2,3,2),IF(MID('Dados Financeiros'!CJ2,2,1)="M",MID('Dados Financeiros'!CJ2,1,1)&amp;"M"&amp;MID('Dados Financeiros'!CJ2,3,2),'Dados Financeiros'!CJ2))))</f>
        <v>2007</v>
      </c>
      <c r="CK3" s="176" t="str">
        <f>IF(Menu!$D$12="PT",'Dados Financeiros'!CK2,IF(MID('Dados Financeiros'!CK2,2,1)="T",MID('Dados Financeiros'!CK2,1,1)&amp;"Q"&amp;MID('Dados Financeiros'!CK2,3,2),IF(MID('Dados Financeiros'!CK2,2,1)="S",MID('Dados Financeiros'!CK2,1,1)&amp;"H"&amp;MID('Dados Financeiros'!CK2,3,2),IF(MID('Dados Financeiros'!CK2,2,1)="M",MID('Dados Financeiros'!CK2,1,1)&amp;"M"&amp;MID('Dados Financeiros'!CK2,3,2),'Dados Financeiros'!CK2))))</f>
        <v>1S08</v>
      </c>
      <c r="CL3" s="176" t="str">
        <f>IF(Menu!$D$12="PT",'Dados Financeiros'!CL2,IF(MID('Dados Financeiros'!CL2,2,1)="T",MID('Dados Financeiros'!CL2,1,1)&amp;"Q"&amp;MID('Dados Financeiros'!CL2,3,2),IF(MID('Dados Financeiros'!CL2,2,1)="S",MID('Dados Financeiros'!CL2,1,1)&amp;"H"&amp;MID('Dados Financeiros'!CL2,3,2),IF(MID('Dados Financeiros'!CL2,2,1)="M",MID('Dados Financeiros'!CL2,1,1)&amp;"M"&amp;MID('Dados Financeiros'!CL2,3,2),'Dados Financeiros'!CL2))))</f>
        <v>9M08</v>
      </c>
      <c r="CM3" s="176">
        <f>IF(Menu!$D$12="PT",'Dados Financeiros'!CM2,IF(MID('Dados Financeiros'!CM2,2,1)="T",MID('Dados Financeiros'!CM2,1,1)&amp;"Q"&amp;MID('Dados Financeiros'!CM2,3,2),IF(MID('Dados Financeiros'!CM2,2,1)="S",MID('Dados Financeiros'!CM2,1,1)&amp;"H"&amp;MID('Dados Financeiros'!CM2,3,2),IF(MID('Dados Financeiros'!CM2,2,1)="M",MID('Dados Financeiros'!CM2,1,1)&amp;"M"&amp;MID('Dados Financeiros'!CM2,3,2),'Dados Financeiros'!CM2))))</f>
        <v>2008</v>
      </c>
      <c r="CN3" s="176" t="str">
        <f>IF(Menu!$D$12="PT",'Dados Financeiros'!CN2,IF(MID('Dados Financeiros'!CN2,2,1)="T",MID('Dados Financeiros'!CN2,1,1)&amp;"Q"&amp;MID('Dados Financeiros'!CN2,3,2),IF(MID('Dados Financeiros'!CN2,2,1)="S",MID('Dados Financeiros'!CN2,1,1)&amp;"H"&amp;MID('Dados Financeiros'!CN2,3,2),IF(MID('Dados Financeiros'!CN2,2,1)="M",MID('Dados Financeiros'!CN2,1,1)&amp;"M"&amp;MID('Dados Financeiros'!CN2,3,2),'Dados Financeiros'!CN2))))</f>
        <v>1S09</v>
      </c>
      <c r="CO3" s="176" t="str">
        <f>IF(Menu!$D$12="PT",'Dados Financeiros'!CO2,IF(MID('Dados Financeiros'!CO2,2,1)="T",MID('Dados Financeiros'!CO2,1,1)&amp;"Q"&amp;MID('Dados Financeiros'!CO2,3,2),IF(MID('Dados Financeiros'!CO2,2,1)="S",MID('Dados Financeiros'!CO2,1,1)&amp;"H"&amp;MID('Dados Financeiros'!CO2,3,2),IF(MID('Dados Financeiros'!CO2,2,1)="M",MID('Dados Financeiros'!CO2,1,1)&amp;"M"&amp;MID('Dados Financeiros'!CO2,3,2),'Dados Financeiros'!CO2))))</f>
        <v>9M09</v>
      </c>
      <c r="CP3" s="176">
        <f>IF(Menu!$D$12="PT",'Dados Financeiros'!CP2,IF(MID('Dados Financeiros'!CP2,2,1)="T",MID('Dados Financeiros'!CP2,1,1)&amp;"Q"&amp;MID('Dados Financeiros'!CP2,3,2),IF(MID('Dados Financeiros'!CP2,2,1)="S",MID('Dados Financeiros'!CP2,1,1)&amp;"H"&amp;MID('Dados Financeiros'!CP2,3,2),IF(MID('Dados Financeiros'!CP2,2,1)="M",MID('Dados Financeiros'!CP2,1,1)&amp;"M"&amp;MID('Dados Financeiros'!CP2,3,2),'Dados Financeiros'!CP2))))</f>
        <v>2009</v>
      </c>
      <c r="CQ3" s="176" t="str">
        <f>IF(Menu!$D$12="PT",'Dados Financeiros'!CQ2,IF(MID('Dados Financeiros'!CQ2,2,1)="T",MID('Dados Financeiros'!CQ2,1,1)&amp;"Q"&amp;MID('Dados Financeiros'!CQ2,3,2),IF(MID('Dados Financeiros'!CQ2,2,1)="S",MID('Dados Financeiros'!CQ2,1,1)&amp;"H"&amp;MID('Dados Financeiros'!CQ2,3,2),IF(MID('Dados Financeiros'!CQ2,2,1)="M",MID('Dados Financeiros'!CQ2,1,1)&amp;"M"&amp;MID('Dados Financeiros'!CQ2,3,2),'Dados Financeiros'!CQ2))))</f>
        <v>1S10</v>
      </c>
      <c r="CR3" s="176" t="str">
        <f>IF(Menu!$D$12="PT",'Dados Financeiros'!CR2,IF(MID('Dados Financeiros'!CR2,2,1)="T",MID('Dados Financeiros'!CR2,1,1)&amp;"Q"&amp;MID('Dados Financeiros'!CR2,3,2),IF(MID('Dados Financeiros'!CR2,2,1)="S",MID('Dados Financeiros'!CR2,1,1)&amp;"H"&amp;MID('Dados Financeiros'!CR2,3,2),IF(MID('Dados Financeiros'!CR2,2,1)="M",MID('Dados Financeiros'!CR2,1,1)&amp;"M"&amp;MID('Dados Financeiros'!CR2,3,2),'Dados Financeiros'!CR2))))</f>
        <v>9M10</v>
      </c>
      <c r="CS3" s="176">
        <f>IF(Menu!$D$12="PT",'Dados Financeiros'!CS2,IF(MID('Dados Financeiros'!CS2,2,1)="T",MID('Dados Financeiros'!CS2,1,1)&amp;"Q"&amp;MID('Dados Financeiros'!CS2,3,2),IF(MID('Dados Financeiros'!CS2,2,1)="S",MID('Dados Financeiros'!CS2,1,1)&amp;"H"&amp;MID('Dados Financeiros'!CS2,3,2),IF(MID('Dados Financeiros'!CS2,2,1)="M",MID('Dados Financeiros'!CS2,1,1)&amp;"M"&amp;MID('Dados Financeiros'!CS2,3,2),'Dados Financeiros'!CS2))))</f>
        <v>2010</v>
      </c>
      <c r="CT3" s="176" t="str">
        <f>IF(Menu!$D$12="PT",'Dados Financeiros'!CT2,IF(MID('Dados Financeiros'!CT2,2,1)="T",MID('Dados Financeiros'!CT2,1,1)&amp;"Q"&amp;MID('Dados Financeiros'!CT2,3,2),IF(MID('Dados Financeiros'!CT2,2,1)="S",MID('Dados Financeiros'!CT2,1,1)&amp;"H"&amp;MID('Dados Financeiros'!CT2,3,2),IF(MID('Dados Financeiros'!CT2,2,1)="M",MID('Dados Financeiros'!CT2,1,1)&amp;"M"&amp;MID('Dados Financeiros'!CT2,3,2),'Dados Financeiros'!CT2))))</f>
        <v>1S11</v>
      </c>
      <c r="CU3" s="176" t="str">
        <f>IF(Menu!$D$12="PT",'Dados Financeiros'!CU2,IF(MID('Dados Financeiros'!CU2,2,1)="T",MID('Dados Financeiros'!CU2,1,1)&amp;"Q"&amp;MID('Dados Financeiros'!CU2,3,2),IF(MID('Dados Financeiros'!CU2,2,1)="S",MID('Dados Financeiros'!CU2,1,1)&amp;"H"&amp;MID('Dados Financeiros'!CU2,3,2),IF(MID('Dados Financeiros'!CU2,2,1)="M",MID('Dados Financeiros'!CU2,1,1)&amp;"M"&amp;MID('Dados Financeiros'!CU2,3,2),'Dados Financeiros'!CU2))))</f>
        <v>9M11</v>
      </c>
      <c r="CV3" s="176">
        <f>IF(Menu!$D$12="PT",'Dados Financeiros'!CV2,IF(MID('Dados Financeiros'!CV2,2,1)="T",MID('Dados Financeiros'!CV2,1,1)&amp;"Q"&amp;MID('Dados Financeiros'!CV2,3,2),IF(MID('Dados Financeiros'!CV2,2,1)="S",MID('Dados Financeiros'!CV2,1,1)&amp;"H"&amp;MID('Dados Financeiros'!CV2,3,2),IF(MID('Dados Financeiros'!CV2,2,1)="M",MID('Dados Financeiros'!CV2,1,1)&amp;"M"&amp;MID('Dados Financeiros'!CV2,3,2),'Dados Financeiros'!CV2))))</f>
        <v>2011</v>
      </c>
      <c r="CW3" s="176" t="str">
        <f>IF(Menu!$D$12="PT",'Dados Financeiros'!CW2,IF(MID('Dados Financeiros'!CW2,2,1)="T",MID('Dados Financeiros'!CW2,1,1)&amp;"Q"&amp;MID('Dados Financeiros'!CW2,3,2),IF(MID('Dados Financeiros'!CW2,2,1)="S",MID('Dados Financeiros'!CW2,1,1)&amp;"H"&amp;MID('Dados Financeiros'!CW2,3,2),IF(MID('Dados Financeiros'!CW2,2,1)="M",MID('Dados Financeiros'!CW2,1,1)&amp;"M"&amp;MID('Dados Financeiros'!CW2,3,2),'Dados Financeiros'!CW2))))</f>
        <v>1S12</v>
      </c>
      <c r="CX3" s="176" t="str">
        <f>IF(Menu!$D$12="PT",'Dados Financeiros'!CX2,IF(MID('Dados Financeiros'!CX2,2,1)="T",MID('Dados Financeiros'!CX2,1,1)&amp;"Q"&amp;MID('Dados Financeiros'!CX2,3,2),IF(MID('Dados Financeiros'!CX2,2,1)="S",MID('Dados Financeiros'!CX2,1,1)&amp;"H"&amp;MID('Dados Financeiros'!CX2,3,2),IF(MID('Dados Financeiros'!CX2,2,1)="M",MID('Dados Financeiros'!CX2,1,1)&amp;"M"&amp;MID('Dados Financeiros'!CX2,3,2),'Dados Financeiros'!CX2))))</f>
        <v>9M12</v>
      </c>
      <c r="CY3" s="176">
        <f>IF(Menu!$D$12="PT",'Dados Financeiros'!CY2,IF(MID('Dados Financeiros'!CY2,2,1)="T",MID('Dados Financeiros'!CY2,1,1)&amp;"Q"&amp;MID('Dados Financeiros'!CY2,3,2),IF(MID('Dados Financeiros'!CY2,2,1)="S",MID('Dados Financeiros'!CY2,1,1)&amp;"H"&amp;MID('Dados Financeiros'!CY2,3,2),IF(MID('Dados Financeiros'!CY2,2,1)="M",MID('Dados Financeiros'!CY2,1,1)&amp;"M"&amp;MID('Dados Financeiros'!CY2,3,2),'Dados Financeiros'!CY2))))</f>
        <v>2012</v>
      </c>
      <c r="CZ3" s="176" t="str">
        <f>IF(Menu!$D$12="PT",'Dados Financeiros'!CZ2,IF(MID('Dados Financeiros'!CZ2,2,1)="T",MID('Dados Financeiros'!CZ2,1,1)&amp;"Q"&amp;MID('Dados Financeiros'!CZ2,3,2),IF(MID('Dados Financeiros'!CZ2,2,1)="S",MID('Dados Financeiros'!CZ2,1,1)&amp;"H"&amp;MID('Dados Financeiros'!CZ2,3,2),IF(MID('Dados Financeiros'!CZ2,2,1)="M",MID('Dados Financeiros'!CZ2,1,1)&amp;"M"&amp;MID('Dados Financeiros'!CZ2,3,2),'Dados Financeiros'!CZ2))))</f>
        <v>1S13</v>
      </c>
      <c r="DA3" s="176" t="str">
        <f>IF(Menu!$D$12="PT",'Dados Financeiros'!DA2,IF(MID('Dados Financeiros'!DA2,2,1)="T",MID('Dados Financeiros'!DA2,1,1)&amp;"Q"&amp;MID('Dados Financeiros'!DA2,3,2),IF(MID('Dados Financeiros'!DA2,2,1)="S",MID('Dados Financeiros'!DA2,1,1)&amp;"H"&amp;MID('Dados Financeiros'!DA2,3,2),IF(MID('Dados Financeiros'!DA2,2,1)="M",MID('Dados Financeiros'!DA2,1,1)&amp;"M"&amp;MID('Dados Financeiros'!DA2,3,2),'Dados Financeiros'!DA2))))</f>
        <v>9M13</v>
      </c>
      <c r="DB3" s="176">
        <f>IF(Menu!$D$12="PT",'Dados Financeiros'!DB2,IF(MID('Dados Financeiros'!DB2,2,1)="T",MID('Dados Financeiros'!DB2,1,1)&amp;"Q"&amp;MID('Dados Financeiros'!DB2,3,2),IF(MID('Dados Financeiros'!DB2,2,1)="S",MID('Dados Financeiros'!DB2,1,1)&amp;"H"&amp;MID('Dados Financeiros'!DB2,3,2),IF(MID('Dados Financeiros'!DB2,2,1)="M",MID('Dados Financeiros'!DB2,1,1)&amp;"M"&amp;MID('Dados Financeiros'!DB2,3,2),'Dados Financeiros'!DB2))))</f>
        <v>2013</v>
      </c>
      <c r="DC3" s="176" t="str">
        <f>IF(Menu!$D$12="PT",'Dados Financeiros'!DC2,IF(MID('Dados Financeiros'!DC2,2,1)="T",MID('Dados Financeiros'!DC2,1,1)&amp;"Q"&amp;MID('Dados Financeiros'!DC2,3,2),IF(MID('Dados Financeiros'!DC2,2,1)="S",MID('Dados Financeiros'!DC2,1,1)&amp;"H"&amp;MID('Dados Financeiros'!DC2,3,2),IF(MID('Dados Financeiros'!DC2,2,1)="M",MID('Dados Financeiros'!DC2,1,1)&amp;"M"&amp;MID('Dados Financeiros'!DC2,3,2),'Dados Financeiros'!DC2))))</f>
        <v>1S14</v>
      </c>
      <c r="DD3" s="176" t="str">
        <f>IF(Menu!$D$12="PT",'Dados Financeiros'!DD2,IF(MID('Dados Financeiros'!DD2,2,1)="T",MID('Dados Financeiros'!DD2,1,1)&amp;"Q"&amp;MID('Dados Financeiros'!DD2,3,2),IF(MID('Dados Financeiros'!DD2,2,1)="S",MID('Dados Financeiros'!DD2,1,1)&amp;"H"&amp;MID('Dados Financeiros'!DD2,3,2),IF(MID('Dados Financeiros'!DD2,2,1)="M",MID('Dados Financeiros'!DD2,1,1)&amp;"M"&amp;MID('Dados Financeiros'!DD2,3,2),'Dados Financeiros'!DD2))))</f>
        <v>9M14</v>
      </c>
      <c r="DE3" s="176">
        <f>IF(Menu!$D$12="PT",'Dados Financeiros'!DE2,IF(MID('Dados Financeiros'!DE2,2,1)="T",MID('Dados Financeiros'!DE2,1,1)&amp;"Q"&amp;MID('Dados Financeiros'!DE2,3,2),IF(MID('Dados Financeiros'!DE2,2,1)="S",MID('Dados Financeiros'!DE2,1,1)&amp;"H"&amp;MID('Dados Financeiros'!DE2,3,2),IF(MID('Dados Financeiros'!DE2,2,1)="M",MID('Dados Financeiros'!DE2,1,1)&amp;"M"&amp;MID('Dados Financeiros'!DE2,3,2),'Dados Financeiros'!DE2))))</f>
        <v>2014</v>
      </c>
      <c r="DF3" s="176" t="str">
        <f>IF(Menu!$D$12="PT",'Dados Financeiros'!DF2,IF(MID('Dados Financeiros'!DF2,2,1)="T",MID('Dados Financeiros'!DF2,1,1)&amp;"Q"&amp;MID('Dados Financeiros'!DF2,3,2),IF(MID('Dados Financeiros'!DF2,2,1)="S",MID('Dados Financeiros'!DF2,1,1)&amp;"H"&amp;MID('Dados Financeiros'!DF2,3,2),IF(MID('Dados Financeiros'!DF2,2,1)="M",MID('Dados Financeiros'!DF2,1,1)&amp;"M"&amp;MID('Dados Financeiros'!DF2,3,2),'Dados Financeiros'!DF2))))</f>
        <v>1S15</v>
      </c>
      <c r="DG3" s="176" t="str">
        <f>IF(Menu!$D$12="PT",'Dados Financeiros'!DG2,IF(MID('Dados Financeiros'!DG2,2,1)="T",MID('Dados Financeiros'!DG2,1,1)&amp;"Q"&amp;MID('Dados Financeiros'!DG2,3,2),IF(MID('Dados Financeiros'!DG2,2,1)="S",MID('Dados Financeiros'!DG2,1,1)&amp;"H"&amp;MID('Dados Financeiros'!DG2,3,2),IF(MID('Dados Financeiros'!DG2,2,1)="M",MID('Dados Financeiros'!DG2,1,1)&amp;"M"&amp;MID('Dados Financeiros'!DG2,3,2),'Dados Financeiros'!DG2))))</f>
        <v>9M15</v>
      </c>
      <c r="DH3" s="176">
        <f>IF(Menu!$D$12="PT",'Dados Financeiros'!DH2,IF(MID('Dados Financeiros'!DH2,2,1)="T",MID('Dados Financeiros'!DH2,1,1)&amp;"Q"&amp;MID('Dados Financeiros'!DH2,3,2),IF(MID('Dados Financeiros'!DH2,2,1)="S",MID('Dados Financeiros'!DH2,1,1)&amp;"H"&amp;MID('Dados Financeiros'!DH2,3,2),IF(MID('Dados Financeiros'!DH2,2,1)="M",MID('Dados Financeiros'!DH2,1,1)&amp;"M"&amp;MID('Dados Financeiros'!DH2,3,2),'Dados Financeiros'!DH2))))</f>
        <v>2015</v>
      </c>
      <c r="DI3" s="176" t="str">
        <f>IF(Menu!$D$12="PT",'Dados Financeiros'!DI2,IF(MID('Dados Financeiros'!DI2,2,1)="T",MID('Dados Financeiros'!DI2,1,1)&amp;"Q"&amp;MID('Dados Financeiros'!DI2,3,2),IF(MID('Dados Financeiros'!DI2,2,1)="S",MID('Dados Financeiros'!DI2,1,1)&amp;"H"&amp;MID('Dados Financeiros'!DI2,3,2),IF(MID('Dados Financeiros'!DI2,2,1)="M",MID('Dados Financeiros'!DI2,1,1)&amp;"M"&amp;MID('Dados Financeiros'!DI2,3,2),'Dados Financeiros'!DI2))))</f>
        <v>1S16</v>
      </c>
      <c r="DJ3" s="176" t="str">
        <f>IF(Menu!$D$12="PT",'Dados Financeiros'!DJ2,IF(MID('Dados Financeiros'!DJ2,2,1)="T",MID('Dados Financeiros'!DJ2,1,1)&amp;"Q"&amp;MID('Dados Financeiros'!DJ2,3,2),IF(MID('Dados Financeiros'!DJ2,2,1)="S",MID('Dados Financeiros'!DJ2,1,1)&amp;"H"&amp;MID('Dados Financeiros'!DJ2,3,2),IF(MID('Dados Financeiros'!DJ2,2,1)="M",MID('Dados Financeiros'!DJ2,1,1)&amp;"M"&amp;MID('Dados Financeiros'!DJ2,3,2),'Dados Financeiros'!DJ2))))</f>
        <v>9M16</v>
      </c>
      <c r="DK3" s="176">
        <f>IF(Menu!$D$12="PT",'Dados Financeiros'!DK2,IF(MID('Dados Financeiros'!DK2,2,1)="T",MID('Dados Financeiros'!DK2,1,1)&amp;"Q"&amp;MID('Dados Financeiros'!DK2,3,2),IF(MID('Dados Financeiros'!DK2,2,1)="S",MID('Dados Financeiros'!DK2,1,1)&amp;"H"&amp;MID('Dados Financeiros'!DK2,3,2),IF(MID('Dados Financeiros'!DK2,2,1)="M",MID('Dados Financeiros'!DK2,1,1)&amp;"M"&amp;MID('Dados Financeiros'!DK2,3,2),'Dados Financeiros'!DK2))))</f>
        <v>2016</v>
      </c>
      <c r="DL3" s="176" t="str">
        <f>IF(Menu!$D$12="PT",'Dados Financeiros'!DL2,IF(MID('Dados Financeiros'!DL2,2,1)="T",MID('Dados Financeiros'!DL2,1,1)&amp;"Q"&amp;MID('Dados Financeiros'!DL2,3,2),IF(MID('Dados Financeiros'!DL2,2,1)="S",MID('Dados Financeiros'!DL2,1,1)&amp;"H"&amp;MID('Dados Financeiros'!DL2,3,2),IF(MID('Dados Financeiros'!DL2,2,1)="M",MID('Dados Financeiros'!DL2,1,1)&amp;"M"&amp;MID('Dados Financeiros'!DL2,3,2),'Dados Financeiros'!DL2))))</f>
        <v>1S17</v>
      </c>
      <c r="DM3" s="176" t="str">
        <f>IF(Menu!$D$12="PT",'Dados Financeiros'!DM2,IF(MID('Dados Financeiros'!DM2,2,1)="T",MID('Dados Financeiros'!DM2,1,1)&amp;"Q"&amp;MID('Dados Financeiros'!DM2,3,2),IF(MID('Dados Financeiros'!DM2,2,1)="S",MID('Dados Financeiros'!DM2,1,1)&amp;"H"&amp;MID('Dados Financeiros'!DM2,3,2),IF(MID('Dados Financeiros'!DM2,2,1)="M",MID('Dados Financeiros'!DM2,1,1)&amp;"M"&amp;MID('Dados Financeiros'!DM2,3,2),'Dados Financeiros'!DM2))))</f>
        <v>9M17</v>
      </c>
      <c r="DN3" s="176">
        <f>IF(Menu!$D$12="PT",'Dados Financeiros'!DN2,IF(MID('Dados Financeiros'!DN2,2,1)="T",MID('Dados Financeiros'!DN2,1,1)&amp;"Q"&amp;MID('Dados Financeiros'!DN2,3,2),IF(MID('Dados Financeiros'!DN2,2,1)="S",MID('Dados Financeiros'!DN2,1,1)&amp;"H"&amp;MID('Dados Financeiros'!DN2,3,2),IF(MID('Dados Financeiros'!DN2,2,1)="M",MID('Dados Financeiros'!DN2,1,1)&amp;"M"&amp;MID('Dados Financeiros'!DN2,3,2),'Dados Financeiros'!DN2))))</f>
        <v>2017</v>
      </c>
      <c r="DO3" s="176" t="str">
        <f>IF(Menu!$D$12="PT",'Dados Financeiros'!DO2,IF(MID('Dados Financeiros'!DO2,2,1)="T",MID('Dados Financeiros'!DO2,1,1)&amp;"Q"&amp;MID('Dados Financeiros'!DO2,3,2),IF(MID('Dados Financeiros'!DO2,2,1)="S",MID('Dados Financeiros'!DO2,1,1)&amp;"H"&amp;MID('Dados Financeiros'!DO2,3,2),IF(MID('Dados Financeiros'!DO2,2,1)="M",MID('Dados Financeiros'!DO2,1,1)&amp;"M"&amp;MID('Dados Financeiros'!DO2,3,2),'Dados Financeiros'!DO2))))</f>
        <v>1S18</v>
      </c>
      <c r="DP3" s="176" t="str">
        <f>IF(Menu!$D$12="PT",'Dados Financeiros'!DP2,IF(MID('Dados Financeiros'!DP2,2,1)="T",MID('Dados Financeiros'!DP2,1,1)&amp;"Q"&amp;MID('Dados Financeiros'!DP2,3,2),IF(MID('Dados Financeiros'!DP2,2,1)="S",MID('Dados Financeiros'!DP2,1,1)&amp;"H"&amp;MID('Dados Financeiros'!DP2,3,2),IF(MID('Dados Financeiros'!DP2,2,1)="M",MID('Dados Financeiros'!DP2,1,1)&amp;"M"&amp;MID('Dados Financeiros'!DP2,3,2),'Dados Financeiros'!DP2))))</f>
        <v>9M18</v>
      </c>
      <c r="DQ3" s="176">
        <f>IF(Menu!$D$12="PT",'Dados Financeiros'!DQ2,IF(MID('Dados Financeiros'!DQ2,2,1)="T",MID('Dados Financeiros'!DQ2,1,1)&amp;"Q"&amp;MID('Dados Financeiros'!DQ2,3,2),IF(MID('Dados Financeiros'!DQ2,2,1)="S",MID('Dados Financeiros'!DQ2,1,1)&amp;"H"&amp;MID('Dados Financeiros'!DQ2,3,2),IF(MID('Dados Financeiros'!DQ2,2,1)="M",MID('Dados Financeiros'!DQ2,1,1)&amp;"M"&amp;MID('Dados Financeiros'!DQ2,3,2),'Dados Financeiros'!DQ2))))</f>
        <v>2018</v>
      </c>
      <c r="DR3" s="176" t="str">
        <f>IF(Menu!$D$12="PT",'Dados Financeiros'!DR2,IF(MID('Dados Financeiros'!DR2,2,1)="T",MID('Dados Financeiros'!DR2,1,1)&amp;"Q"&amp;MID('Dados Financeiros'!DR2,3,2),IF(MID('Dados Financeiros'!DR2,2,1)="S",MID('Dados Financeiros'!DR2,1,1)&amp;"H"&amp;MID('Dados Financeiros'!DR2,3,2),IF(MID('Dados Financeiros'!DR2,2,1)="M",MID('Dados Financeiros'!DR2,1,1)&amp;"M"&amp;MID('Dados Financeiros'!DR2,3,2),'Dados Financeiros'!DR2))))</f>
        <v>1S19</v>
      </c>
      <c r="DS3" s="176" t="str">
        <f>IF(Menu!$D$12="PT",'Dados Financeiros'!DS2,IF(MID('Dados Financeiros'!DS2,2,1)="T",MID('Dados Financeiros'!DS2,1,1)&amp;"Q"&amp;MID('Dados Financeiros'!DS2,3,2),IF(MID('Dados Financeiros'!DS2,2,1)="S",MID('Dados Financeiros'!DS2,1,1)&amp;"H"&amp;MID('Dados Financeiros'!DS2,3,2),IF(MID('Dados Financeiros'!DS2,2,1)="M",MID('Dados Financeiros'!DS2,1,1)&amp;"M"&amp;MID('Dados Financeiros'!DS2,3,2),'Dados Financeiros'!DS2))))</f>
        <v>9M19</v>
      </c>
      <c r="DT3" s="176">
        <f>IF(Menu!$D$12="PT",'Dados Financeiros'!DT2,IF(MID('Dados Financeiros'!DT2,2,1)="T",MID('Dados Financeiros'!DT2,1,1)&amp;"Q"&amp;MID('Dados Financeiros'!DT2,3,2),IF(MID('Dados Financeiros'!DT2,2,1)="S",MID('Dados Financeiros'!DT2,1,1)&amp;"H"&amp;MID('Dados Financeiros'!DT2,3,2),IF(MID('Dados Financeiros'!DT2,2,1)="M",MID('Dados Financeiros'!DT2,1,1)&amp;"M"&amp;MID('Dados Financeiros'!DT2,3,2),'Dados Financeiros'!DT2))))</f>
        <v>2019</v>
      </c>
      <c r="DU3" s="176" t="str">
        <f>IF(Menu!$D$12="PT",'Dados Financeiros'!DU2,IF(MID('Dados Financeiros'!DU2,2,1)="T",MID('Dados Financeiros'!DU2,1,1)&amp;"Q"&amp;MID('Dados Financeiros'!DU2,3,2),IF(MID('Dados Financeiros'!DU2,2,1)="S",MID('Dados Financeiros'!DU2,1,1)&amp;"H"&amp;MID('Dados Financeiros'!DU2,3,2),IF(MID('Dados Financeiros'!DU2,2,1)="M",MID('Dados Financeiros'!DU2,1,1)&amp;"M"&amp;MID('Dados Financeiros'!DU2,3,2),'Dados Financeiros'!DU2))))</f>
        <v>1S20</v>
      </c>
      <c r="DV3" s="176" t="str">
        <f>IF(Menu!$D$12="PT",'Dados Financeiros'!DV2,IF(MID('Dados Financeiros'!DV2,2,1)="T",MID('Dados Financeiros'!DV2,1,1)&amp;"Q"&amp;MID('Dados Financeiros'!DV2,3,2),IF(MID('Dados Financeiros'!DV2,2,1)="S",MID('Dados Financeiros'!DV2,1,1)&amp;"H"&amp;MID('Dados Financeiros'!DV2,3,2),IF(MID('Dados Financeiros'!DV2,2,1)="M",MID('Dados Financeiros'!DV2,1,1)&amp;"M"&amp;MID('Dados Financeiros'!DV2,3,2),'Dados Financeiros'!DV2))))</f>
        <v>9M20</v>
      </c>
      <c r="DW3" s="176">
        <f>IF(Menu!$D$12="PT",'Dados Financeiros'!DW2,IF(MID('Dados Financeiros'!DW2,2,1)="T",MID('Dados Financeiros'!DW2,1,1)&amp;"Q"&amp;MID('Dados Financeiros'!DW2,3,2),IF(MID('Dados Financeiros'!DW2,2,1)="S",MID('Dados Financeiros'!DW2,1,1)&amp;"H"&amp;MID('Dados Financeiros'!DW2,3,2),IF(MID('Dados Financeiros'!DW2,2,1)="M",MID('Dados Financeiros'!DW2,1,1)&amp;"M"&amp;MID('Dados Financeiros'!DW2,3,2),'Dados Financeiros'!DW2))))</f>
        <v>2020</v>
      </c>
      <c r="DX3" s="176" t="str">
        <f>IF(Menu!$D$12="PT",'Dados Financeiros'!DX2,IF(MID('Dados Financeiros'!DX2,2,1)="T",MID('Dados Financeiros'!DX2,1,1)&amp;"Q"&amp;MID('Dados Financeiros'!DX2,3,2),IF(MID('Dados Financeiros'!DX2,2,1)="S",MID('Dados Financeiros'!DX2,1,1)&amp;"H"&amp;MID('Dados Financeiros'!DX2,3,2),IF(MID('Dados Financeiros'!DX2,2,1)="M",MID('Dados Financeiros'!DX2,1,1)&amp;"M"&amp;MID('Dados Financeiros'!DX2,3,2),'Dados Financeiros'!DX2))))</f>
        <v>1S21</v>
      </c>
      <c r="DY3" s="176" t="str">
        <f>IF(Menu!$D$12="PT",'Dados Financeiros'!DY2,IF(MID('Dados Financeiros'!DY2,2,1)="T",MID('Dados Financeiros'!DY2,1,1)&amp;"Q"&amp;MID('Dados Financeiros'!DY2,3,2),IF(MID('Dados Financeiros'!DY2,2,1)="S",MID('Dados Financeiros'!DY2,1,1)&amp;"H"&amp;MID('Dados Financeiros'!DY2,3,2),IF(MID('Dados Financeiros'!DY2,2,1)="M",MID('Dados Financeiros'!DY2,1,1)&amp;"M"&amp;MID('Dados Financeiros'!DY2,3,2),'Dados Financeiros'!DY2))))</f>
        <v>9M21</v>
      </c>
      <c r="DZ3" s="176">
        <f>IF(Menu!$D$12="PT",'Dados Financeiros'!DZ2,IF(MID('Dados Financeiros'!DZ2,2,1)="T",MID('Dados Financeiros'!DZ2,1,1)&amp;"Q"&amp;MID('Dados Financeiros'!DZ2,3,2),IF(MID('Dados Financeiros'!DZ2,2,1)="S",MID('Dados Financeiros'!DZ2,1,1)&amp;"H"&amp;MID('Dados Financeiros'!DZ2,3,2),IF(MID('Dados Financeiros'!DZ2,2,1)="M",MID('Dados Financeiros'!DZ2,1,1)&amp;"M"&amp;MID('Dados Financeiros'!DZ2,3,2),'Dados Financeiros'!DZ2))))</f>
        <v>2021</v>
      </c>
      <c r="EA3" s="176" t="str">
        <f>IF(Menu!$D$12="PT",'Dados Financeiros'!EA2,IF(MID('Dados Financeiros'!EA2,2,1)="T",MID('Dados Financeiros'!EA2,1,1)&amp;"Q"&amp;MID('Dados Financeiros'!EA2,3,2),IF(MID('Dados Financeiros'!EA2,2,1)="S",MID('Dados Financeiros'!EA2,1,1)&amp;"H"&amp;MID('Dados Financeiros'!EA2,3,2),IF(MID('Dados Financeiros'!EA2,2,1)="M",MID('Dados Financeiros'!EA2,1,1)&amp;"M"&amp;MID('Dados Financeiros'!EA2,3,2),'Dados Financeiros'!EA2))))</f>
        <v>1S22</v>
      </c>
      <c r="EB3" s="176" t="str">
        <f>IF(Menu!$D$12="PT",'Dados Financeiros'!EB2,IF(MID('Dados Financeiros'!EB2,2,1)="T",MID('Dados Financeiros'!EB2,1,1)&amp;"Q"&amp;MID('Dados Financeiros'!EB2,3,2),IF(MID('Dados Financeiros'!EB2,2,1)="S",MID('Dados Financeiros'!EB2,1,1)&amp;"H"&amp;MID('Dados Financeiros'!EB2,3,2),IF(MID('Dados Financeiros'!EB2,2,1)="M",MID('Dados Financeiros'!EB2,1,1)&amp;"M"&amp;MID('Dados Financeiros'!EB2,3,2),'Dados Financeiros'!EB2))))</f>
        <v>9M22</v>
      </c>
      <c r="EC3" s="176">
        <f>IF(Menu!$D$12="PT",'Dados Financeiros'!EC2,IF(MID('Dados Financeiros'!EC2,2,1)="T",MID('Dados Financeiros'!EC2,1,1)&amp;"Q"&amp;MID('Dados Financeiros'!EC2,3,2),IF(MID('Dados Financeiros'!EC2,2,1)="S",MID('Dados Financeiros'!EC2,1,1)&amp;"H"&amp;MID('Dados Financeiros'!EC2,3,2),IF(MID('Dados Financeiros'!EC2,2,1)="M",MID('Dados Financeiros'!EC2,1,1)&amp;"M"&amp;MID('Dados Financeiros'!EC2,3,2),'Dados Financeiros'!EC2))))</f>
        <v>2022</v>
      </c>
      <c r="ED3" s="176" t="str">
        <f>IF(Menu!$D$12="PT",'Dados Financeiros'!ED2,IF(MID('Dados Financeiros'!ED2,2,1)="T",MID('Dados Financeiros'!ED2,1,1)&amp;"Q"&amp;MID('Dados Financeiros'!ED2,3,2),IF(MID('Dados Financeiros'!ED2,2,1)="S",MID('Dados Financeiros'!ED2,1,1)&amp;"H"&amp;MID('Dados Financeiros'!ED2,3,2),IF(MID('Dados Financeiros'!ED2,2,1)="M",MID('Dados Financeiros'!ED2,1,1)&amp;"M"&amp;MID('Dados Financeiros'!ED2,3,2),'Dados Financeiros'!ED2))))</f>
        <v>1S23</v>
      </c>
      <c r="EE3" s="176" t="str">
        <f>IF(Menu!$D$12="PT",'Dados Financeiros'!EE2,IF(MID('Dados Financeiros'!EE2,2,1)="T",MID('Dados Financeiros'!EE2,1,1)&amp;"Q"&amp;MID('Dados Financeiros'!EE2,3,2),IF(MID('Dados Financeiros'!EE2,2,1)="S",MID('Dados Financeiros'!EE2,1,1)&amp;"H"&amp;MID('Dados Financeiros'!EE2,3,2),IF(MID('Dados Financeiros'!EE2,2,1)="M",MID('Dados Financeiros'!EE2,1,1)&amp;"M"&amp;MID('Dados Financeiros'!EE2,3,2),'Dados Financeiros'!EE2))))</f>
        <v>9M23</v>
      </c>
      <c r="EF3" s="176">
        <f>IF(Menu!$D$12="PT",'Dados Financeiros'!EF2,IF(MID('Dados Financeiros'!EF2,2,1)="T",MID('Dados Financeiros'!EF2,1,1)&amp;"Q"&amp;MID('Dados Financeiros'!EF2,3,2),IF(MID('Dados Financeiros'!EF2,2,1)="S",MID('Dados Financeiros'!EF2,1,1)&amp;"H"&amp;MID('Dados Financeiros'!EF2,3,2),IF(MID('Dados Financeiros'!EF2,2,1)="M",MID('Dados Financeiros'!EF2,1,1)&amp;"M"&amp;MID('Dados Financeiros'!EF2,3,2),'Dados Financeiros'!EF2))))</f>
        <v>2023</v>
      </c>
      <c r="EG3" s="176" t="str">
        <f>IF(Menu!$D$12="PT",'Dados Financeiros'!EG2,IF(MID('Dados Financeiros'!EG2,2,1)="T",MID('Dados Financeiros'!EG2,1,1)&amp;"Q"&amp;MID('Dados Financeiros'!EG2,3,2),IF(MID('Dados Financeiros'!EG2,2,1)="S",MID('Dados Financeiros'!EG2,1,1)&amp;"H"&amp;MID('Dados Financeiros'!EG2,3,2),IF(MID('Dados Financeiros'!EG2,2,1)="M",MID('Dados Financeiros'!EG2,1,1)&amp;"M"&amp;MID('Dados Financeiros'!EG2,3,2),'Dados Financeiros'!EG2))))</f>
        <v>1S24</v>
      </c>
      <c r="EH3" s="176" t="str">
        <f>IF(Menu!$D$12="PT",'Dados Financeiros'!EH2,IF(MID('Dados Financeiros'!EH2,2,1)="T",MID('Dados Financeiros'!EH2,1,1)&amp;"Q"&amp;MID('Dados Financeiros'!EH2,3,2),IF(MID('Dados Financeiros'!EH2,2,1)="S",MID('Dados Financeiros'!EH2,1,1)&amp;"H"&amp;MID('Dados Financeiros'!EH2,3,2),IF(MID('Dados Financeiros'!EH2,2,1)="M",MID('Dados Financeiros'!EH2,1,1)&amp;"M"&amp;MID('Dados Financeiros'!EH2,3,2),'Dados Financeiros'!EH2))))</f>
        <v>9M24</v>
      </c>
      <c r="EI3" s="176">
        <f>IF(Menu!$D$12="PT",'Dados Financeiros'!EI2,IF(MID('Dados Financeiros'!EI2,2,1)="T",MID('Dados Financeiros'!EI2,1,1)&amp;"Q"&amp;MID('Dados Financeiros'!EI2,3,2),IF(MID('Dados Financeiros'!EI2,2,1)="S",MID('Dados Financeiros'!EI2,1,1)&amp;"H"&amp;MID('Dados Financeiros'!EI2,3,2),IF(MID('Dados Financeiros'!EI2,2,1)="M",MID('Dados Financeiros'!EI2,1,1)&amp;"M"&amp;MID('Dados Financeiros'!EI2,3,2),'Dados Financeiros'!EI2))))</f>
        <v>2024</v>
      </c>
      <c r="EJ3" s="176" t="str">
        <f>IF(Menu!$D$12="PT",'Dados Financeiros'!EJ2,IF(MID('Dados Financeiros'!EJ2,2,1)="T",MID('Dados Financeiros'!EJ2,1,1)&amp;"Q"&amp;MID('Dados Financeiros'!EJ2,3,2),IF(MID('Dados Financeiros'!EJ2,2,1)="S",MID('Dados Financeiros'!EJ2,1,1)&amp;"H"&amp;MID('Dados Financeiros'!EJ2,3,2),IF(MID('Dados Financeiros'!EJ2,2,1)="M",MID('Dados Financeiros'!EJ2,1,1)&amp;"M"&amp;MID('Dados Financeiros'!EJ2,3,2),'Dados Financeiros'!EJ2))))</f>
        <v>1S25</v>
      </c>
      <c r="EK3" s="176" t="str">
        <f>IF(Menu!$D$12="PT",'Dados Financeiros'!EK2,IF(MID('Dados Financeiros'!EK2,2,1)="T",MID('Dados Financeiros'!EK2,1,1)&amp;"Q"&amp;MID('Dados Financeiros'!EK2,3,2),IF(MID('Dados Financeiros'!EK2,2,1)="S",MID('Dados Financeiros'!EK2,1,1)&amp;"H"&amp;MID('Dados Financeiros'!EK2,3,2),IF(MID('Dados Financeiros'!EK2,2,1)="M",MID('Dados Financeiros'!EK2,1,1)&amp;"M"&amp;MID('Dados Financeiros'!EK2,3,2),'Dados Financeiros'!EK2))))</f>
        <v>9M25</v>
      </c>
      <c r="EL3" s="176">
        <f>IF(Menu!$D$12="PT",'Dados Financeiros'!EL2,IF(MID('Dados Financeiros'!EL2,2,1)="T",MID('Dados Financeiros'!EL2,1,1)&amp;"Q"&amp;MID('Dados Financeiros'!EL2,3,2),IF(MID('Dados Financeiros'!EL2,2,1)="S",MID('Dados Financeiros'!EL2,1,1)&amp;"H"&amp;MID('Dados Financeiros'!EL2,3,2),IF(MID('Dados Financeiros'!EL2,2,1)="M",MID('Dados Financeiros'!EL2,1,1)&amp;"M"&amp;MID('Dados Financeiros'!EL2,3,2),'Dados Financeiros'!EL2))))</f>
        <v>2025</v>
      </c>
    </row>
    <row r="4" spans="1:142" x14ac:dyDescent="0.3">
      <c r="B4" s="25"/>
      <c r="C4" s="25"/>
      <c r="D4" s="25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F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D4" s="58"/>
      <c r="EG4" s="58"/>
      <c r="EJ4" s="58"/>
    </row>
    <row r="5" spans="1:142" s="26" customFormat="1" ht="16.2" thickBot="1" x14ac:dyDescent="0.35">
      <c r="A5" s="85"/>
      <c r="B5" s="154" t="s">
        <v>90</v>
      </c>
      <c r="C5" s="154" t="s">
        <v>380</v>
      </c>
      <c r="D5" s="154" t="str">
        <f>IF(Menu!$D$12="PT",'Dados Financeiros'!B5,'Dados Financeiros'!C5)</f>
        <v>Balanço Patrimonial</v>
      </c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5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5"/>
      <c r="EI5" s="155"/>
      <c r="EJ5" s="155"/>
      <c r="EK5" s="155"/>
      <c r="EL5" s="155"/>
    </row>
    <row r="6" spans="1:142" x14ac:dyDescent="0.3">
      <c r="B6" s="30"/>
      <c r="C6" s="30"/>
      <c r="D6" s="30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</row>
    <row r="7" spans="1:142" ht="14.4" thickBot="1" x14ac:dyDescent="0.35">
      <c r="B7" s="175" t="s">
        <v>89</v>
      </c>
      <c r="C7" s="175" t="s">
        <v>381</v>
      </c>
      <c r="D7" s="180" t="str">
        <f>IF(Menu!$D$12="PT",'Dados Financeiros'!B7,'Dados Financeiros'!C7)</f>
        <v>Ativo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89"/>
      <c r="AP7" s="89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</row>
    <row r="8" spans="1:142" x14ac:dyDescent="0.3">
      <c r="B8" s="25"/>
      <c r="C8" s="25"/>
      <c r="D8" s="25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</row>
    <row r="9" spans="1:142" ht="14.4" thickBot="1" x14ac:dyDescent="0.35">
      <c r="B9" s="40" t="s">
        <v>78</v>
      </c>
      <c r="C9" s="40" t="s">
        <v>382</v>
      </c>
      <c r="D9" s="181" t="str">
        <f>IF(Menu!$D$12="PT",'Dados Financeiros'!B9,'Dados Financeiros'!C9)</f>
        <v>Circulante</v>
      </c>
      <c r="E9" s="20">
        <f t="shared" ref="E9:AJ9" si="3">SUM(E10:E18)</f>
        <v>943774</v>
      </c>
      <c r="F9" s="20">
        <f t="shared" si="3"/>
        <v>846422</v>
      </c>
      <c r="G9" s="20">
        <f t="shared" si="3"/>
        <v>858375</v>
      </c>
      <c r="H9" s="20">
        <f t="shared" si="3"/>
        <v>646579</v>
      </c>
      <c r="I9" s="20">
        <f t="shared" si="3"/>
        <v>646901</v>
      </c>
      <c r="J9" s="20">
        <f t="shared" si="3"/>
        <v>757328</v>
      </c>
      <c r="K9" s="20">
        <f t="shared" si="3"/>
        <v>785964</v>
      </c>
      <c r="L9" s="20">
        <f t="shared" si="3"/>
        <v>849603</v>
      </c>
      <c r="M9" s="20">
        <f t="shared" si="3"/>
        <v>974017</v>
      </c>
      <c r="N9" s="20">
        <f t="shared" si="3"/>
        <v>970478</v>
      </c>
      <c r="O9" s="20">
        <f t="shared" si="3"/>
        <v>1085032</v>
      </c>
      <c r="P9" s="20">
        <f t="shared" si="3"/>
        <v>1504268</v>
      </c>
      <c r="Q9" s="20">
        <f t="shared" si="3"/>
        <v>1526866</v>
      </c>
      <c r="R9" s="20">
        <f t="shared" si="3"/>
        <v>1589317</v>
      </c>
      <c r="S9" s="20">
        <f t="shared" si="3"/>
        <v>2015820</v>
      </c>
      <c r="T9" s="20">
        <f t="shared" si="3"/>
        <v>1901013</v>
      </c>
      <c r="U9" s="20">
        <f t="shared" si="3"/>
        <v>2611760</v>
      </c>
      <c r="V9" s="20">
        <f t="shared" si="3"/>
        <v>2435879</v>
      </c>
      <c r="W9" s="20">
        <f t="shared" si="3"/>
        <v>2783571</v>
      </c>
      <c r="X9" s="20">
        <f t="shared" si="3"/>
        <v>2681117</v>
      </c>
      <c r="Y9" s="20">
        <f t="shared" si="3"/>
        <v>2684311</v>
      </c>
      <c r="Z9" s="20">
        <f t="shared" si="3"/>
        <v>2131276</v>
      </c>
      <c r="AA9" s="20">
        <f t="shared" si="3"/>
        <v>2778560</v>
      </c>
      <c r="AB9" s="20">
        <f t="shared" si="3"/>
        <v>2223187</v>
      </c>
      <c r="AC9" s="20">
        <f t="shared" si="3"/>
        <v>2809380</v>
      </c>
      <c r="AD9" s="20">
        <f t="shared" si="3"/>
        <v>2295948</v>
      </c>
      <c r="AE9" s="20">
        <f t="shared" si="3"/>
        <v>2710386</v>
      </c>
      <c r="AF9" s="20">
        <f t="shared" si="3"/>
        <v>2198456</v>
      </c>
      <c r="AG9" s="20">
        <f t="shared" si="3"/>
        <v>2649862</v>
      </c>
      <c r="AH9" s="20">
        <f t="shared" si="3"/>
        <v>2870515</v>
      </c>
      <c r="AI9" s="20">
        <f t="shared" si="3"/>
        <v>3135712</v>
      </c>
      <c r="AJ9" s="20">
        <f t="shared" si="3"/>
        <v>3288973</v>
      </c>
      <c r="AK9" s="20">
        <f t="shared" ref="AK9:BN9" si="4">SUM(AK10:AK18)</f>
        <v>3428921</v>
      </c>
      <c r="AL9" s="20">
        <f t="shared" si="4"/>
        <v>3640919</v>
      </c>
      <c r="AM9" s="20">
        <f t="shared" si="4"/>
        <v>3303673</v>
      </c>
      <c r="AN9" s="20">
        <f t="shared" si="4"/>
        <v>3123812</v>
      </c>
      <c r="AO9" s="20">
        <f t="shared" si="4"/>
        <v>2944214</v>
      </c>
      <c r="AP9" s="20">
        <f t="shared" si="4"/>
        <v>3278710</v>
      </c>
      <c r="AQ9" s="20">
        <f t="shared" si="4"/>
        <v>3178681</v>
      </c>
      <c r="AR9" s="20">
        <f t="shared" si="4"/>
        <v>2107312</v>
      </c>
      <c r="AS9" s="20">
        <f t="shared" si="4"/>
        <v>2052649</v>
      </c>
      <c r="AT9" s="20">
        <f t="shared" si="4"/>
        <v>2014367</v>
      </c>
      <c r="AU9" s="20">
        <f t="shared" si="4"/>
        <v>1945710</v>
      </c>
      <c r="AV9" s="20">
        <f t="shared" si="4"/>
        <v>1701223</v>
      </c>
      <c r="AW9" s="20">
        <f t="shared" si="4"/>
        <v>1521775</v>
      </c>
      <c r="AX9" s="20">
        <f t="shared" si="4"/>
        <v>1450605</v>
      </c>
      <c r="AY9" s="20">
        <f t="shared" si="4"/>
        <v>1281145</v>
      </c>
      <c r="AZ9" s="20">
        <f t="shared" si="4"/>
        <v>1069069</v>
      </c>
      <c r="BA9" s="20">
        <f t="shared" si="4"/>
        <v>1007191</v>
      </c>
      <c r="BB9" s="20">
        <f t="shared" si="4"/>
        <v>938779</v>
      </c>
      <c r="BC9" s="20">
        <f t="shared" si="4"/>
        <v>832134</v>
      </c>
      <c r="BD9" s="20">
        <f t="shared" si="4"/>
        <v>712123</v>
      </c>
      <c r="BE9" s="20">
        <f t="shared" si="4"/>
        <v>668135</v>
      </c>
      <c r="BF9" s="20">
        <f t="shared" si="4"/>
        <v>596981</v>
      </c>
      <c r="BG9" s="20">
        <f t="shared" si="4"/>
        <v>806370</v>
      </c>
      <c r="BH9" s="20">
        <f t="shared" si="4"/>
        <v>731523</v>
      </c>
      <c r="BI9" s="20">
        <f t="shared" si="4"/>
        <v>568955</v>
      </c>
      <c r="BJ9" s="20">
        <f t="shared" si="4"/>
        <v>565037</v>
      </c>
      <c r="BK9" s="20">
        <f t="shared" si="4"/>
        <v>593330</v>
      </c>
      <c r="BL9" s="20">
        <f t="shared" si="4"/>
        <v>704430</v>
      </c>
      <c r="BM9" s="20">
        <f t="shared" si="4"/>
        <v>682263</v>
      </c>
      <c r="BN9" s="20">
        <f t="shared" si="4"/>
        <v>679448</v>
      </c>
      <c r="BO9" s="20">
        <v>706226</v>
      </c>
      <c r="BP9" s="20">
        <f t="shared" ref="BP9:BZ9" si="5">SUM(BP10:BP18)</f>
        <v>767890</v>
      </c>
      <c r="BQ9" s="20">
        <f t="shared" si="5"/>
        <v>790823</v>
      </c>
      <c r="BR9" s="20">
        <f t="shared" si="5"/>
        <v>783354</v>
      </c>
      <c r="BS9" s="20">
        <f t="shared" si="5"/>
        <v>795778</v>
      </c>
      <c r="BT9" s="20">
        <f t="shared" si="5"/>
        <v>861002</v>
      </c>
      <c r="BU9" s="20">
        <f t="shared" si="5"/>
        <v>892586</v>
      </c>
      <c r="BV9" s="20">
        <f t="shared" si="5"/>
        <v>831367</v>
      </c>
      <c r="BW9" s="20">
        <f t="shared" si="5"/>
        <v>799938</v>
      </c>
      <c r="BX9" s="20">
        <f t="shared" si="5"/>
        <v>751519</v>
      </c>
      <c r="BY9" s="20">
        <f t="shared" si="5"/>
        <v>849893</v>
      </c>
      <c r="BZ9" s="20">
        <f t="shared" si="5"/>
        <v>758964</v>
      </c>
      <c r="CA9" s="20">
        <f t="shared" ref="CA9:CB9" si="6">SUM(CA10:CA18)</f>
        <v>673948</v>
      </c>
      <c r="CB9" s="20">
        <f t="shared" si="6"/>
        <v>545646</v>
      </c>
      <c r="CC9" s="20">
        <f t="shared" ref="CC9:CD9" si="7">SUM(CC10:CC18)</f>
        <v>451633</v>
      </c>
      <c r="CD9" s="20">
        <f t="shared" si="7"/>
        <v>339408</v>
      </c>
      <c r="CE9" s="20">
        <f t="shared" ref="CE9:CF9" si="8">SUM(CE10:CE18)</f>
        <v>311697</v>
      </c>
      <c r="CF9" s="20">
        <f t="shared" si="8"/>
        <v>493526</v>
      </c>
      <c r="CH9" s="20">
        <f t="shared" ref="CH9:DM9" ca="1" si="9">SUM(CH10:CH18)</f>
        <v>846422</v>
      </c>
      <c r="CI9" s="20">
        <f t="shared" ca="1" si="9"/>
        <v>858375</v>
      </c>
      <c r="CJ9" s="20">
        <f t="shared" ca="1" si="9"/>
        <v>646579</v>
      </c>
      <c r="CK9" s="20">
        <f t="shared" ca="1" si="9"/>
        <v>757328</v>
      </c>
      <c r="CL9" s="20">
        <f t="shared" ca="1" si="9"/>
        <v>785964</v>
      </c>
      <c r="CM9" s="20">
        <f t="shared" ca="1" si="9"/>
        <v>849603</v>
      </c>
      <c r="CN9" s="20">
        <f t="shared" ca="1" si="9"/>
        <v>970478</v>
      </c>
      <c r="CO9" s="20">
        <f t="shared" ca="1" si="9"/>
        <v>1085032</v>
      </c>
      <c r="CP9" s="20">
        <f t="shared" ca="1" si="9"/>
        <v>1504268</v>
      </c>
      <c r="CQ9" s="20">
        <f t="shared" ca="1" si="9"/>
        <v>1589317</v>
      </c>
      <c r="CR9" s="20">
        <f t="shared" ca="1" si="9"/>
        <v>2015820</v>
      </c>
      <c r="CS9" s="20">
        <f t="shared" ca="1" si="9"/>
        <v>1901013</v>
      </c>
      <c r="CT9" s="20">
        <f t="shared" ca="1" si="9"/>
        <v>2435879</v>
      </c>
      <c r="CU9" s="20">
        <f t="shared" ca="1" si="9"/>
        <v>2783571</v>
      </c>
      <c r="CV9" s="20">
        <f t="shared" ca="1" si="9"/>
        <v>2681117</v>
      </c>
      <c r="CW9" s="20">
        <f t="shared" ca="1" si="9"/>
        <v>2223187</v>
      </c>
      <c r="CX9" s="20">
        <f t="shared" ca="1" si="9"/>
        <v>2295948</v>
      </c>
      <c r="CY9" s="20">
        <f t="shared" ca="1" si="9"/>
        <v>2198456</v>
      </c>
      <c r="CZ9" s="20">
        <f t="shared" ca="1" si="9"/>
        <v>2870515</v>
      </c>
      <c r="DA9" s="20">
        <f t="shared" ca="1" si="9"/>
        <v>3135712</v>
      </c>
      <c r="DB9" s="20">
        <f t="shared" ca="1" si="9"/>
        <v>3288973</v>
      </c>
      <c r="DC9" s="20">
        <f t="shared" ca="1" si="9"/>
        <v>3640919</v>
      </c>
      <c r="DD9" s="20">
        <f t="shared" ca="1" si="9"/>
        <v>3303673</v>
      </c>
      <c r="DE9" s="20">
        <f t="shared" ca="1" si="9"/>
        <v>3123812</v>
      </c>
      <c r="DF9" s="20">
        <f t="shared" ca="1" si="9"/>
        <v>3278710</v>
      </c>
      <c r="DG9" s="20">
        <f t="shared" ca="1" si="9"/>
        <v>3178681</v>
      </c>
      <c r="DH9" s="20">
        <f t="shared" ca="1" si="9"/>
        <v>2107312</v>
      </c>
      <c r="DI9" s="20">
        <f t="shared" ca="1" si="9"/>
        <v>2014367</v>
      </c>
      <c r="DJ9" s="20">
        <f t="shared" ca="1" si="9"/>
        <v>1945710</v>
      </c>
      <c r="DK9" s="20">
        <f t="shared" ca="1" si="9"/>
        <v>1701223</v>
      </c>
      <c r="DL9" s="20">
        <f t="shared" ca="1" si="9"/>
        <v>1450605</v>
      </c>
      <c r="DM9" s="20">
        <f t="shared" ca="1" si="9"/>
        <v>1281145</v>
      </c>
      <c r="DN9" s="20">
        <f t="shared" ref="DN9:EH9" ca="1" si="10">SUM(DN10:DN18)</f>
        <v>1069069</v>
      </c>
      <c r="DO9" s="20">
        <f t="shared" ca="1" si="10"/>
        <v>938779</v>
      </c>
      <c r="DP9" s="20">
        <f t="shared" ca="1" si="10"/>
        <v>832134</v>
      </c>
      <c r="DQ9" s="20">
        <f t="shared" ca="1" si="10"/>
        <v>712123</v>
      </c>
      <c r="DR9" s="20">
        <f t="shared" ca="1" si="10"/>
        <v>596981</v>
      </c>
      <c r="DS9" s="20">
        <f t="shared" ca="1" si="10"/>
        <v>806370</v>
      </c>
      <c r="DT9" s="20">
        <f t="shared" ca="1" si="10"/>
        <v>731523</v>
      </c>
      <c r="DU9" s="20">
        <f t="shared" ca="1" si="10"/>
        <v>565037</v>
      </c>
      <c r="DV9" s="20">
        <f t="shared" ca="1" si="10"/>
        <v>593330</v>
      </c>
      <c r="DW9" s="20">
        <f t="shared" ca="1" si="10"/>
        <v>704430</v>
      </c>
      <c r="DX9" s="20">
        <f t="shared" ca="1" si="10"/>
        <v>679448</v>
      </c>
      <c r="DY9" s="20">
        <f t="shared" ca="1" si="10"/>
        <v>706226</v>
      </c>
      <c r="DZ9" s="20">
        <f t="shared" ca="1" si="10"/>
        <v>767890</v>
      </c>
      <c r="EA9" s="20">
        <f t="shared" ca="1" si="10"/>
        <v>783354</v>
      </c>
      <c r="EB9" s="20">
        <f t="shared" ca="1" si="10"/>
        <v>795778</v>
      </c>
      <c r="EC9" s="20">
        <f t="shared" ca="1" si="10"/>
        <v>861002</v>
      </c>
      <c r="ED9" s="20">
        <f t="shared" ca="1" si="10"/>
        <v>831367</v>
      </c>
      <c r="EE9" s="20">
        <f t="shared" ca="1" si="10"/>
        <v>799938</v>
      </c>
      <c r="EF9" s="20">
        <f t="shared" ca="1" si="10"/>
        <v>751519</v>
      </c>
      <c r="EG9" s="20">
        <f t="shared" ca="1" si="10"/>
        <v>758964</v>
      </c>
      <c r="EH9" s="20">
        <f t="shared" ca="1" si="10"/>
        <v>673948</v>
      </c>
      <c r="EI9" s="20">
        <f t="shared" ref="EI9:EK9" ca="1" si="11">SUM(EI10:EI18)</f>
        <v>545646</v>
      </c>
      <c r="EJ9" s="20">
        <f t="shared" ca="1" si="11"/>
        <v>339408</v>
      </c>
      <c r="EK9" s="20">
        <f t="shared" ca="1" si="11"/>
        <v>311697</v>
      </c>
      <c r="EL9" s="20">
        <f t="shared" ref="EL9" ca="1" si="12">SUM(EL10:EL18)</f>
        <v>395120</v>
      </c>
    </row>
    <row r="10" spans="1:142" x14ac:dyDescent="0.3">
      <c r="B10" s="110" t="s">
        <v>35</v>
      </c>
      <c r="C10" s="110" t="s">
        <v>383</v>
      </c>
      <c r="D10" s="182" t="str">
        <f>IF(Menu!$D$12="PT",'Dados Financeiros'!B10,'Dados Financeiros'!C10)</f>
        <v>Caixa e Equivalentes de Caixa</v>
      </c>
      <c r="E10" s="32">
        <v>423716</v>
      </c>
      <c r="F10" s="32">
        <v>217050</v>
      </c>
      <c r="G10" s="32">
        <v>147447</v>
      </c>
      <c r="H10" s="32">
        <v>52905</v>
      </c>
      <c r="I10" s="32">
        <v>102298</v>
      </c>
      <c r="J10" s="32">
        <v>121451</v>
      </c>
      <c r="K10" s="32">
        <v>119571</v>
      </c>
      <c r="L10" s="32">
        <v>43666</v>
      </c>
      <c r="M10" s="32">
        <v>79996</v>
      </c>
      <c r="N10" s="32">
        <v>69908</v>
      </c>
      <c r="O10" s="32">
        <v>34971</v>
      </c>
      <c r="P10" s="32">
        <v>356723</v>
      </c>
      <c r="Q10" s="32">
        <v>327833</v>
      </c>
      <c r="R10" s="32">
        <v>270959</v>
      </c>
      <c r="S10" s="32">
        <v>340250</v>
      </c>
      <c r="T10" s="32">
        <v>278124</v>
      </c>
      <c r="U10" s="32">
        <v>570288</v>
      </c>
      <c r="V10" s="32">
        <f>288691+11989</f>
        <v>300680</v>
      </c>
      <c r="W10" s="32">
        <v>464173</v>
      </c>
      <c r="X10" s="32">
        <v>414467</v>
      </c>
      <c r="Y10" s="32">
        <v>396013</v>
      </c>
      <c r="Z10" s="32">
        <v>350044</v>
      </c>
      <c r="AA10" s="32">
        <v>375638</v>
      </c>
      <c r="AB10" s="32">
        <v>316811</v>
      </c>
      <c r="AC10" s="32">
        <v>319117</v>
      </c>
      <c r="AD10" s="32">
        <v>257010</v>
      </c>
      <c r="AE10" s="32">
        <v>178042</v>
      </c>
      <c r="AF10" s="32">
        <v>95264</v>
      </c>
      <c r="AG10" s="32">
        <v>286345</v>
      </c>
      <c r="AH10" s="32">
        <v>412433</v>
      </c>
      <c r="AI10" s="32">
        <v>331538</v>
      </c>
      <c r="AJ10" s="32">
        <v>335134</v>
      </c>
      <c r="AK10" s="32">
        <v>310585</v>
      </c>
      <c r="AL10" s="32">
        <v>407890</v>
      </c>
      <c r="AM10" s="81">
        <v>246175</v>
      </c>
      <c r="AN10" s="32">
        <v>251831</v>
      </c>
      <c r="AO10" s="32">
        <v>365272</v>
      </c>
      <c r="AP10" s="32">
        <v>313126</v>
      </c>
      <c r="AQ10" s="32">
        <v>168896</v>
      </c>
      <c r="AR10" s="32">
        <v>99026</v>
      </c>
      <c r="AS10" s="32">
        <v>43857</v>
      </c>
      <c r="AT10" s="32">
        <v>16849</v>
      </c>
      <c r="AU10" s="32">
        <v>39180</v>
      </c>
      <c r="AV10" s="32">
        <v>12117</v>
      </c>
      <c r="AW10" s="32">
        <v>10300</v>
      </c>
      <c r="AX10" s="32">
        <v>23208</v>
      </c>
      <c r="AY10" s="32">
        <v>34503</v>
      </c>
      <c r="AZ10" s="32">
        <v>10254</v>
      </c>
      <c r="BA10" s="32">
        <v>11173</v>
      </c>
      <c r="BB10" s="32">
        <v>10609</v>
      </c>
      <c r="BC10" s="32">
        <v>12584</v>
      </c>
      <c r="BD10" s="32">
        <v>14536</v>
      </c>
      <c r="BE10" s="32">
        <v>6065</v>
      </c>
      <c r="BF10" s="32">
        <v>4269</v>
      </c>
      <c r="BG10" s="32">
        <v>231912</v>
      </c>
      <c r="BH10" s="32">
        <v>251919</v>
      </c>
      <c r="BI10" s="32">
        <v>196418</v>
      </c>
      <c r="BJ10" s="32">
        <v>221021</v>
      </c>
      <c r="BK10" s="32">
        <v>161565</v>
      </c>
      <c r="BL10" s="32">
        <v>101813</v>
      </c>
      <c r="BM10" s="32">
        <v>121139</v>
      </c>
      <c r="BN10" s="32">
        <v>90213</v>
      </c>
      <c r="BO10" s="32">
        <v>113496</v>
      </c>
      <c r="BP10" s="32">
        <v>103863</v>
      </c>
      <c r="BQ10" s="32">
        <v>126761</v>
      </c>
      <c r="BR10" s="32">
        <v>98666</v>
      </c>
      <c r="BS10" s="32">
        <v>88982</v>
      </c>
      <c r="BT10" s="32">
        <v>113662</v>
      </c>
      <c r="BU10" s="32">
        <v>168018</v>
      </c>
      <c r="BV10" s="32">
        <v>143211</v>
      </c>
      <c r="BW10" s="32">
        <v>143418</v>
      </c>
      <c r="BX10" s="32">
        <v>83865</v>
      </c>
      <c r="BY10" s="32">
        <v>176331</v>
      </c>
      <c r="BZ10" s="32">
        <v>178968</v>
      </c>
      <c r="CA10" s="32">
        <v>148797</v>
      </c>
      <c r="CB10" s="32">
        <v>130821</v>
      </c>
      <c r="CC10" s="32">
        <v>121619</v>
      </c>
      <c r="CD10" s="32">
        <v>65101</v>
      </c>
      <c r="CE10" s="32">
        <v>42380</v>
      </c>
      <c r="CF10" s="32">
        <v>199508</v>
      </c>
      <c r="CH10" s="32">
        <f t="shared" ref="CH10:CQ12" ca="1" si="13">INDIRECT(ADDRESS(ROW(),MATCH(IF(LEFT(CH$2,2)="1S","2T",IF(LEFT(CH$2,2)="9M","3T","4T"))&amp;RIGHT(CH$2,2),$A$2:$CG$2,0)))</f>
        <v>217050</v>
      </c>
      <c r="CI10" s="32">
        <f t="shared" ca="1" si="13"/>
        <v>147447</v>
      </c>
      <c r="CJ10" s="32">
        <f t="shared" ca="1" si="13"/>
        <v>52905</v>
      </c>
      <c r="CK10" s="32">
        <f t="shared" ca="1" si="13"/>
        <v>121451</v>
      </c>
      <c r="CL10" s="32">
        <f t="shared" ca="1" si="13"/>
        <v>119571</v>
      </c>
      <c r="CM10" s="32">
        <f t="shared" ca="1" si="13"/>
        <v>43666</v>
      </c>
      <c r="CN10" s="32">
        <f t="shared" ca="1" si="13"/>
        <v>69908</v>
      </c>
      <c r="CO10" s="32">
        <f t="shared" ca="1" si="13"/>
        <v>34971</v>
      </c>
      <c r="CP10" s="32">
        <f t="shared" ca="1" si="13"/>
        <v>356723</v>
      </c>
      <c r="CQ10" s="32">
        <f t="shared" ca="1" si="13"/>
        <v>270959</v>
      </c>
      <c r="CR10" s="32">
        <f t="shared" ref="CR10:DA12" ca="1" si="14">INDIRECT(ADDRESS(ROW(),MATCH(IF(LEFT(CR$2,2)="1S","2T",IF(LEFT(CR$2,2)="9M","3T","4T"))&amp;RIGHT(CR$2,2),$A$2:$CG$2,0)))</f>
        <v>340250</v>
      </c>
      <c r="CS10" s="32">
        <f t="shared" ca="1" si="14"/>
        <v>278124</v>
      </c>
      <c r="CT10" s="32">
        <f t="shared" ca="1" si="14"/>
        <v>300680</v>
      </c>
      <c r="CU10" s="32">
        <f t="shared" ca="1" si="14"/>
        <v>464173</v>
      </c>
      <c r="CV10" s="32">
        <f t="shared" ca="1" si="14"/>
        <v>414467</v>
      </c>
      <c r="CW10" s="32">
        <f t="shared" ca="1" si="14"/>
        <v>316811</v>
      </c>
      <c r="CX10" s="32">
        <f t="shared" ca="1" si="14"/>
        <v>257010</v>
      </c>
      <c r="CY10" s="32">
        <f t="shared" ca="1" si="14"/>
        <v>95264</v>
      </c>
      <c r="CZ10" s="32">
        <f t="shared" ca="1" si="14"/>
        <v>412433</v>
      </c>
      <c r="DA10" s="32">
        <f t="shared" ca="1" si="14"/>
        <v>331538</v>
      </c>
      <c r="DB10" s="32">
        <f t="shared" ref="DB10:DK12" ca="1" si="15">INDIRECT(ADDRESS(ROW(),MATCH(IF(LEFT(DB$2,2)="1S","2T",IF(LEFT(DB$2,2)="9M","3T","4T"))&amp;RIGHT(DB$2,2),$A$2:$CG$2,0)))</f>
        <v>335134</v>
      </c>
      <c r="DC10" s="32">
        <f t="shared" ca="1" si="15"/>
        <v>407890</v>
      </c>
      <c r="DD10" s="32">
        <f t="shared" ca="1" si="15"/>
        <v>246175</v>
      </c>
      <c r="DE10" s="32">
        <f t="shared" ca="1" si="15"/>
        <v>251831</v>
      </c>
      <c r="DF10" s="32">
        <f t="shared" ca="1" si="15"/>
        <v>313126</v>
      </c>
      <c r="DG10" s="32">
        <f t="shared" ca="1" si="15"/>
        <v>168896</v>
      </c>
      <c r="DH10" s="32">
        <f t="shared" ca="1" si="15"/>
        <v>99026</v>
      </c>
      <c r="DI10" s="32">
        <f t="shared" ca="1" si="15"/>
        <v>16849</v>
      </c>
      <c r="DJ10" s="32">
        <f t="shared" ca="1" si="15"/>
        <v>39180</v>
      </c>
      <c r="DK10" s="32">
        <f t="shared" ca="1" si="15"/>
        <v>12117</v>
      </c>
      <c r="DL10" s="32">
        <f t="shared" ref="DL10:DU12" ca="1" si="16">INDIRECT(ADDRESS(ROW(),MATCH(IF(LEFT(DL$2,2)="1S","2T",IF(LEFT(DL$2,2)="9M","3T","4T"))&amp;RIGHT(DL$2,2),$A$2:$CG$2,0)))</f>
        <v>23208</v>
      </c>
      <c r="DM10" s="32">
        <f t="shared" ca="1" si="16"/>
        <v>34503</v>
      </c>
      <c r="DN10" s="32">
        <f t="shared" ca="1" si="16"/>
        <v>10254</v>
      </c>
      <c r="DO10" s="32">
        <f t="shared" ca="1" si="16"/>
        <v>10609</v>
      </c>
      <c r="DP10" s="32">
        <f t="shared" ca="1" si="16"/>
        <v>12584</v>
      </c>
      <c r="DQ10" s="32">
        <f t="shared" ca="1" si="16"/>
        <v>14536</v>
      </c>
      <c r="DR10" s="32">
        <f t="shared" ca="1" si="16"/>
        <v>4269</v>
      </c>
      <c r="DS10" s="32">
        <f t="shared" ca="1" si="16"/>
        <v>231912</v>
      </c>
      <c r="DT10" s="32">
        <f t="shared" ca="1" si="16"/>
        <v>251919</v>
      </c>
      <c r="DU10" s="32">
        <f t="shared" ca="1" si="16"/>
        <v>221021</v>
      </c>
      <c r="DV10" s="32">
        <f t="shared" ref="DV10:EE12" ca="1" si="17">INDIRECT(ADDRESS(ROW(),MATCH(IF(LEFT(DV$2,2)="1S","2T",IF(LEFT(DV$2,2)="9M","3T","4T"))&amp;RIGHT(DV$2,2),$A$2:$CG$2,0)))</f>
        <v>161565</v>
      </c>
      <c r="DW10" s="32">
        <f t="shared" ca="1" si="17"/>
        <v>101813</v>
      </c>
      <c r="DX10" s="32">
        <f t="shared" ca="1" si="17"/>
        <v>90213</v>
      </c>
      <c r="DY10" s="32">
        <f t="shared" ca="1" si="17"/>
        <v>113496</v>
      </c>
      <c r="DZ10" s="32">
        <f t="shared" ca="1" si="17"/>
        <v>103863</v>
      </c>
      <c r="EA10" s="32">
        <f t="shared" ca="1" si="17"/>
        <v>98666</v>
      </c>
      <c r="EB10" s="32">
        <f t="shared" ca="1" si="17"/>
        <v>88982</v>
      </c>
      <c r="EC10" s="32">
        <f t="shared" ca="1" si="17"/>
        <v>113662</v>
      </c>
      <c r="ED10" s="32">
        <f t="shared" ca="1" si="17"/>
        <v>143211</v>
      </c>
      <c r="EE10" s="32">
        <f t="shared" ca="1" si="17"/>
        <v>143418</v>
      </c>
      <c r="EF10" s="32">
        <f t="shared" ref="EF10:EL12" ca="1" si="18">INDIRECT(ADDRESS(ROW(),MATCH(IF(LEFT(EF$2,2)="1S","2T",IF(LEFT(EF$2,2)="9M","3T","4T"))&amp;RIGHT(EF$2,2),$A$2:$CG$2,0)))</f>
        <v>83865</v>
      </c>
      <c r="EG10" s="32">
        <f t="shared" ca="1" si="18"/>
        <v>178968</v>
      </c>
      <c r="EH10" s="32">
        <f t="shared" ca="1" si="18"/>
        <v>148797</v>
      </c>
      <c r="EI10" s="32">
        <f t="shared" ca="1" si="18"/>
        <v>130821</v>
      </c>
      <c r="EJ10" s="32">
        <f t="shared" ca="1" si="18"/>
        <v>65101</v>
      </c>
      <c r="EK10" s="32">
        <f t="shared" ca="1" si="18"/>
        <v>42380</v>
      </c>
      <c r="EL10" s="32">
        <f t="shared" ca="1" si="18"/>
        <v>199508</v>
      </c>
    </row>
    <row r="11" spans="1:142" x14ac:dyDescent="0.3">
      <c r="B11" s="137" t="s">
        <v>560</v>
      </c>
      <c r="C11" s="111" t="s">
        <v>384</v>
      </c>
      <c r="D11" s="183" t="str">
        <f>IF(Menu!$D$12="PT",'Dados Financeiros'!B11,'Dados Financeiros'!C11)</f>
        <v>Títulos e Valores Mobiliários - CP</v>
      </c>
      <c r="E11" s="4">
        <v>5132</v>
      </c>
      <c r="F11" s="4">
        <v>4779</v>
      </c>
      <c r="G11" s="4">
        <v>9041</v>
      </c>
      <c r="H11" s="4">
        <v>18146</v>
      </c>
      <c r="I11" s="4">
        <v>9106</v>
      </c>
      <c r="J11" s="4">
        <v>12096</v>
      </c>
      <c r="K11" s="4">
        <v>16690</v>
      </c>
      <c r="L11" s="4">
        <v>27396</v>
      </c>
      <c r="M11" s="4">
        <v>32157</v>
      </c>
      <c r="N11" s="4">
        <v>23449</v>
      </c>
      <c r="O11" s="4">
        <v>33895</v>
      </c>
      <c r="P11" s="4">
        <v>63194</v>
      </c>
      <c r="Q11" s="4">
        <v>37106</v>
      </c>
      <c r="R11" s="4">
        <v>57565</v>
      </c>
      <c r="S11" s="4">
        <v>54766</v>
      </c>
      <c r="T11" s="4">
        <v>11453</v>
      </c>
      <c r="U11" s="4">
        <v>11705</v>
      </c>
      <c r="V11" s="4">
        <v>31099</v>
      </c>
      <c r="W11" s="4">
        <v>11573</v>
      </c>
      <c r="X11" s="4">
        <v>11374</v>
      </c>
      <c r="Y11" s="4">
        <v>10941</v>
      </c>
      <c r="Z11" s="4">
        <v>10941</v>
      </c>
      <c r="AA11" s="4">
        <v>10996</v>
      </c>
      <c r="AB11" s="4">
        <v>10996</v>
      </c>
      <c r="AC11" s="4">
        <v>11222</v>
      </c>
      <c r="AD11" s="4">
        <v>11222</v>
      </c>
      <c r="AE11" s="4">
        <v>59408</v>
      </c>
      <c r="AF11" s="32">
        <v>59408</v>
      </c>
      <c r="AG11" s="32">
        <v>54487</v>
      </c>
      <c r="AH11" s="32">
        <v>31375</v>
      </c>
      <c r="AI11" s="32">
        <v>12455</v>
      </c>
      <c r="AJ11" s="32">
        <v>8147</v>
      </c>
      <c r="AK11" s="32">
        <v>3973</v>
      </c>
      <c r="AL11" s="32">
        <v>3496</v>
      </c>
      <c r="AM11" s="32">
        <v>3214</v>
      </c>
      <c r="AN11" s="32">
        <v>5351</v>
      </c>
      <c r="AO11" s="32">
        <v>1337</v>
      </c>
      <c r="AP11" s="32">
        <v>141</v>
      </c>
      <c r="AQ11" s="32">
        <v>36505</v>
      </c>
      <c r="AR11" s="32">
        <v>93709</v>
      </c>
      <c r="AS11" s="32">
        <v>65183</v>
      </c>
      <c r="AT11" s="32">
        <v>90076</v>
      </c>
      <c r="AU11" s="32">
        <v>51592</v>
      </c>
      <c r="AV11" s="32">
        <v>79430</v>
      </c>
      <c r="AW11" s="32">
        <v>14649</v>
      </c>
      <c r="AX11" s="32">
        <v>45803</v>
      </c>
      <c r="AY11" s="32">
        <v>11672</v>
      </c>
      <c r="AZ11" s="32">
        <v>22623</v>
      </c>
      <c r="BA11" s="32">
        <v>12669</v>
      </c>
      <c r="BB11" s="32">
        <v>57382</v>
      </c>
      <c r="BC11" s="32">
        <v>38470</v>
      </c>
      <c r="BD11" s="32">
        <v>15951</v>
      </c>
      <c r="BE11" s="32">
        <v>37910</v>
      </c>
      <c r="BF11" s="32">
        <v>29685</v>
      </c>
      <c r="BG11" s="32">
        <v>110046</v>
      </c>
      <c r="BH11" s="32">
        <v>73214</v>
      </c>
      <c r="BI11" s="32">
        <v>10171</v>
      </c>
      <c r="BJ11" s="32">
        <v>11563</v>
      </c>
      <c r="BK11" s="32">
        <v>78086</v>
      </c>
      <c r="BL11" s="32">
        <v>141889</v>
      </c>
      <c r="BM11" s="32">
        <v>150759</v>
      </c>
      <c r="BN11" s="32">
        <v>62873</v>
      </c>
      <c r="BO11" s="32">
        <v>69957</v>
      </c>
      <c r="BP11" s="32">
        <v>71145</v>
      </c>
      <c r="BQ11" s="32">
        <v>56566</v>
      </c>
      <c r="BR11" s="32">
        <v>60417</v>
      </c>
      <c r="BS11" s="32">
        <v>47086</v>
      </c>
      <c r="BT11" s="32">
        <v>87346</v>
      </c>
      <c r="BU11" s="32">
        <v>22250</v>
      </c>
      <c r="BV11" s="32">
        <v>17949</v>
      </c>
      <c r="BW11" s="32">
        <v>25120</v>
      </c>
      <c r="BX11" s="32">
        <v>16871</v>
      </c>
      <c r="BY11" s="32">
        <v>24285</v>
      </c>
      <c r="BZ11" s="32">
        <v>40525</v>
      </c>
      <c r="CA11" s="32">
        <v>47369</v>
      </c>
      <c r="CB11" s="32">
        <v>31447</v>
      </c>
      <c r="CC11" s="32">
        <v>22982</v>
      </c>
      <c r="CD11" s="32">
        <v>8526</v>
      </c>
      <c r="CE11" s="32">
        <v>5705</v>
      </c>
      <c r="CF11" s="32">
        <v>16372</v>
      </c>
      <c r="CH11" s="32">
        <f t="shared" ca="1" si="13"/>
        <v>4779</v>
      </c>
      <c r="CI11" s="32">
        <f t="shared" ca="1" si="13"/>
        <v>9041</v>
      </c>
      <c r="CJ11" s="32">
        <f t="shared" ca="1" si="13"/>
        <v>18146</v>
      </c>
      <c r="CK11" s="32">
        <f t="shared" ca="1" si="13"/>
        <v>12096</v>
      </c>
      <c r="CL11" s="32">
        <f t="shared" ca="1" si="13"/>
        <v>16690</v>
      </c>
      <c r="CM11" s="32">
        <f t="shared" ca="1" si="13"/>
        <v>27396</v>
      </c>
      <c r="CN11" s="32">
        <f t="shared" ca="1" si="13"/>
        <v>23449</v>
      </c>
      <c r="CO11" s="32">
        <f t="shared" ca="1" si="13"/>
        <v>33895</v>
      </c>
      <c r="CP11" s="32">
        <f t="shared" ca="1" si="13"/>
        <v>63194</v>
      </c>
      <c r="CQ11" s="32">
        <f t="shared" ca="1" si="13"/>
        <v>57565</v>
      </c>
      <c r="CR11" s="32">
        <f t="shared" ca="1" si="14"/>
        <v>54766</v>
      </c>
      <c r="CS11" s="32">
        <f t="shared" ca="1" si="14"/>
        <v>11453</v>
      </c>
      <c r="CT11" s="32">
        <f t="shared" ca="1" si="14"/>
        <v>31099</v>
      </c>
      <c r="CU11" s="32">
        <f t="shared" ca="1" si="14"/>
        <v>11573</v>
      </c>
      <c r="CV11" s="32">
        <f t="shared" ca="1" si="14"/>
        <v>11374</v>
      </c>
      <c r="CW11" s="32">
        <f t="shared" ca="1" si="14"/>
        <v>10996</v>
      </c>
      <c r="CX11" s="32">
        <f t="shared" ca="1" si="14"/>
        <v>11222</v>
      </c>
      <c r="CY11" s="32">
        <f t="shared" ca="1" si="14"/>
        <v>59408</v>
      </c>
      <c r="CZ11" s="32">
        <f t="shared" ca="1" si="14"/>
        <v>31375</v>
      </c>
      <c r="DA11" s="32">
        <f t="shared" ca="1" si="14"/>
        <v>12455</v>
      </c>
      <c r="DB11" s="32">
        <f t="shared" ca="1" si="15"/>
        <v>8147</v>
      </c>
      <c r="DC11" s="32">
        <f t="shared" ca="1" si="15"/>
        <v>3496</v>
      </c>
      <c r="DD11" s="32">
        <f t="shared" ca="1" si="15"/>
        <v>3214</v>
      </c>
      <c r="DE11" s="32">
        <f t="shared" ca="1" si="15"/>
        <v>5351</v>
      </c>
      <c r="DF11" s="32">
        <f t="shared" ca="1" si="15"/>
        <v>141</v>
      </c>
      <c r="DG11" s="32">
        <f t="shared" ca="1" si="15"/>
        <v>36505</v>
      </c>
      <c r="DH11" s="32">
        <f t="shared" ca="1" si="15"/>
        <v>93709</v>
      </c>
      <c r="DI11" s="32">
        <f t="shared" ca="1" si="15"/>
        <v>90076</v>
      </c>
      <c r="DJ11" s="32">
        <f t="shared" ca="1" si="15"/>
        <v>51592</v>
      </c>
      <c r="DK11" s="32">
        <f t="shared" ca="1" si="15"/>
        <v>79430</v>
      </c>
      <c r="DL11" s="32">
        <f t="shared" ca="1" si="16"/>
        <v>45803</v>
      </c>
      <c r="DM11" s="32">
        <f t="shared" ca="1" si="16"/>
        <v>11672</v>
      </c>
      <c r="DN11" s="32">
        <f t="shared" ca="1" si="16"/>
        <v>22623</v>
      </c>
      <c r="DO11" s="32">
        <f t="shared" ca="1" si="16"/>
        <v>57382</v>
      </c>
      <c r="DP11" s="32">
        <f t="shared" ca="1" si="16"/>
        <v>38470</v>
      </c>
      <c r="DQ11" s="32">
        <f t="shared" ca="1" si="16"/>
        <v>15951</v>
      </c>
      <c r="DR11" s="32">
        <f t="shared" ca="1" si="16"/>
        <v>29685</v>
      </c>
      <c r="DS11" s="32">
        <f t="shared" ca="1" si="16"/>
        <v>110046</v>
      </c>
      <c r="DT11" s="32">
        <f t="shared" ca="1" si="16"/>
        <v>73214</v>
      </c>
      <c r="DU11" s="32">
        <f t="shared" ca="1" si="16"/>
        <v>11563</v>
      </c>
      <c r="DV11" s="32">
        <f t="shared" ca="1" si="17"/>
        <v>78086</v>
      </c>
      <c r="DW11" s="32">
        <f t="shared" ca="1" si="17"/>
        <v>141889</v>
      </c>
      <c r="DX11" s="32">
        <f t="shared" ca="1" si="17"/>
        <v>62873</v>
      </c>
      <c r="DY11" s="32">
        <f t="shared" ca="1" si="17"/>
        <v>69957</v>
      </c>
      <c r="DZ11" s="32">
        <f t="shared" ca="1" si="17"/>
        <v>71145</v>
      </c>
      <c r="EA11" s="32">
        <f t="shared" ca="1" si="17"/>
        <v>60417</v>
      </c>
      <c r="EB11" s="32">
        <f t="shared" ca="1" si="17"/>
        <v>47086</v>
      </c>
      <c r="EC11" s="32">
        <f t="shared" ca="1" si="17"/>
        <v>87346</v>
      </c>
      <c r="ED11" s="32">
        <f t="shared" ca="1" si="17"/>
        <v>17949</v>
      </c>
      <c r="EE11" s="32">
        <f t="shared" ca="1" si="17"/>
        <v>25120</v>
      </c>
      <c r="EF11" s="32">
        <f t="shared" ca="1" si="18"/>
        <v>16871</v>
      </c>
      <c r="EG11" s="32">
        <f t="shared" ca="1" si="18"/>
        <v>40525</v>
      </c>
      <c r="EH11" s="32">
        <f t="shared" ca="1" si="18"/>
        <v>47369</v>
      </c>
      <c r="EI11" s="32">
        <f t="shared" ca="1" si="18"/>
        <v>31447</v>
      </c>
      <c r="EJ11" s="32">
        <f t="shared" ca="1" si="18"/>
        <v>8526</v>
      </c>
      <c r="EK11" s="32">
        <f t="shared" ca="1" si="18"/>
        <v>5705</v>
      </c>
      <c r="EL11" s="32">
        <f t="shared" ca="1" si="18"/>
        <v>16372</v>
      </c>
    </row>
    <row r="12" spans="1:142" x14ac:dyDescent="0.3">
      <c r="B12" s="110" t="s">
        <v>561</v>
      </c>
      <c r="C12" s="110" t="s">
        <v>385</v>
      </c>
      <c r="D12" s="182" t="str">
        <f>IF(Menu!$D$12="PT",'Dados Financeiros'!B12,'Dados Financeiros'!C12)</f>
        <v>Contas a receber de clientes - CP</v>
      </c>
      <c r="E12" s="32">
        <v>100421</v>
      </c>
      <c r="F12" s="32">
        <v>147192</v>
      </c>
      <c r="G12" s="32">
        <v>187312</v>
      </c>
      <c r="H12" s="32">
        <v>185738</v>
      </c>
      <c r="I12" s="32">
        <v>196212</v>
      </c>
      <c r="J12" s="32">
        <v>213126</v>
      </c>
      <c r="K12" s="32">
        <v>236965</v>
      </c>
      <c r="L12" s="32">
        <v>278420</v>
      </c>
      <c r="M12" s="32">
        <v>305971</v>
      </c>
      <c r="N12" s="32">
        <v>360537</v>
      </c>
      <c r="O12" s="32">
        <v>474569</v>
      </c>
      <c r="P12" s="32">
        <v>543999</v>
      </c>
      <c r="Q12" s="32">
        <v>587964</v>
      </c>
      <c r="R12" s="32">
        <v>661717</v>
      </c>
      <c r="S12" s="32">
        <v>821431</v>
      </c>
      <c r="T12" s="32">
        <v>928150</v>
      </c>
      <c r="U12" s="32">
        <v>1169156</v>
      </c>
      <c r="V12" s="32">
        <v>1255859</v>
      </c>
      <c r="W12" s="32">
        <v>1419249</v>
      </c>
      <c r="X12" s="32">
        <v>1405309</v>
      </c>
      <c r="Y12" s="32">
        <v>1396334</v>
      </c>
      <c r="Z12" s="4">
        <v>1077424</v>
      </c>
      <c r="AA12" s="32">
        <v>1452215</v>
      </c>
      <c r="AB12" s="32">
        <v>1132680</v>
      </c>
      <c r="AC12" s="32">
        <v>1540598</v>
      </c>
      <c r="AD12" s="32">
        <v>1225681</v>
      </c>
      <c r="AE12" s="32">
        <v>1465406</v>
      </c>
      <c r="AF12" s="32">
        <v>1197921</v>
      </c>
      <c r="AG12" s="32">
        <v>1347809</v>
      </c>
      <c r="AH12" s="32">
        <v>1467467</v>
      </c>
      <c r="AI12" s="32">
        <v>1709093</v>
      </c>
      <c r="AJ12" s="32">
        <v>1864565</v>
      </c>
      <c r="AK12" s="32">
        <v>1894604</v>
      </c>
      <c r="AL12" s="32">
        <v>1971807</v>
      </c>
      <c r="AM12" s="32">
        <v>1894446</v>
      </c>
      <c r="AN12" s="32">
        <v>1662028</v>
      </c>
      <c r="AO12" s="32">
        <v>1556598</v>
      </c>
      <c r="AP12" s="32">
        <v>1800586</v>
      </c>
      <c r="AQ12" s="32">
        <v>1847787</v>
      </c>
      <c r="AR12" s="32">
        <v>704285</v>
      </c>
      <c r="AS12" s="32">
        <v>753073</v>
      </c>
      <c r="AT12" s="32">
        <v>666367</v>
      </c>
      <c r="AU12" s="32">
        <v>528873</v>
      </c>
      <c r="AV12" s="32">
        <v>434132</v>
      </c>
      <c r="AW12" s="32">
        <v>371048</v>
      </c>
      <c r="AX12" s="32">
        <v>288715</v>
      </c>
      <c r="AY12" s="32">
        <v>193387</v>
      </c>
      <c r="AZ12" s="32">
        <v>174483</v>
      </c>
      <c r="BA12" s="32">
        <v>156373</v>
      </c>
      <c r="BB12" s="32">
        <v>118381</v>
      </c>
      <c r="BC12" s="32">
        <v>74816</v>
      </c>
      <c r="BD12" s="32">
        <v>83157</v>
      </c>
      <c r="BE12" s="32">
        <v>61537</v>
      </c>
      <c r="BF12" s="32">
        <v>52347</v>
      </c>
      <c r="BG12" s="32">
        <v>60693</v>
      </c>
      <c r="BH12" s="32">
        <v>80655</v>
      </c>
      <c r="BI12" s="32">
        <v>50951</v>
      </c>
      <c r="BJ12" s="32">
        <v>49821</v>
      </c>
      <c r="BK12" s="32">
        <v>50050</v>
      </c>
      <c r="BL12" s="32">
        <v>47172</v>
      </c>
      <c r="BM12" s="32">
        <v>31024</v>
      </c>
      <c r="BN12" s="32">
        <v>38884</v>
      </c>
      <c r="BO12" s="32">
        <v>28122</v>
      </c>
      <c r="BP12" s="32">
        <v>30556</v>
      </c>
      <c r="BQ12" s="32">
        <v>39623</v>
      </c>
      <c r="BR12" s="32">
        <v>58910</v>
      </c>
      <c r="BS12" s="32">
        <v>78531</v>
      </c>
      <c r="BT12" s="32">
        <v>99765</v>
      </c>
      <c r="BU12" s="32">
        <v>129269</v>
      </c>
      <c r="BV12" s="32">
        <v>155810</v>
      </c>
      <c r="BW12" s="32">
        <v>172452</v>
      </c>
      <c r="BX12" s="32">
        <v>220170</v>
      </c>
      <c r="BY12" s="32">
        <v>232052</v>
      </c>
      <c r="BZ12" s="32">
        <v>219325</v>
      </c>
      <c r="CA12" s="32">
        <v>220991</v>
      </c>
      <c r="CB12" s="32">
        <v>199736</v>
      </c>
      <c r="CC12" s="32">
        <v>130342</v>
      </c>
      <c r="CD12" s="32">
        <v>94847</v>
      </c>
      <c r="CE12" s="32">
        <v>81254</v>
      </c>
      <c r="CF12" s="32">
        <v>48797</v>
      </c>
      <c r="CH12" s="32">
        <f t="shared" ca="1" si="13"/>
        <v>147192</v>
      </c>
      <c r="CI12" s="32">
        <f t="shared" ca="1" si="13"/>
        <v>187312</v>
      </c>
      <c r="CJ12" s="32">
        <f t="shared" ca="1" si="13"/>
        <v>185738</v>
      </c>
      <c r="CK12" s="32">
        <f t="shared" ca="1" si="13"/>
        <v>213126</v>
      </c>
      <c r="CL12" s="32">
        <f t="shared" ca="1" si="13"/>
        <v>236965</v>
      </c>
      <c r="CM12" s="32">
        <f t="shared" ca="1" si="13"/>
        <v>278420</v>
      </c>
      <c r="CN12" s="32">
        <f t="shared" ca="1" si="13"/>
        <v>360537</v>
      </c>
      <c r="CO12" s="32">
        <f t="shared" ca="1" si="13"/>
        <v>474569</v>
      </c>
      <c r="CP12" s="32">
        <f t="shared" ca="1" si="13"/>
        <v>543999</v>
      </c>
      <c r="CQ12" s="32">
        <f t="shared" ca="1" si="13"/>
        <v>661717</v>
      </c>
      <c r="CR12" s="32">
        <f t="shared" ca="1" si="14"/>
        <v>821431</v>
      </c>
      <c r="CS12" s="32">
        <f t="shared" ca="1" si="14"/>
        <v>928150</v>
      </c>
      <c r="CT12" s="32">
        <f t="shared" ca="1" si="14"/>
        <v>1255859</v>
      </c>
      <c r="CU12" s="32">
        <f t="shared" ca="1" si="14"/>
        <v>1419249</v>
      </c>
      <c r="CV12" s="32">
        <f t="shared" ca="1" si="14"/>
        <v>1405309</v>
      </c>
      <c r="CW12" s="32">
        <f t="shared" ca="1" si="14"/>
        <v>1132680</v>
      </c>
      <c r="CX12" s="32">
        <f t="shared" ca="1" si="14"/>
        <v>1225681</v>
      </c>
      <c r="CY12" s="32">
        <f t="shared" ca="1" si="14"/>
        <v>1197921</v>
      </c>
      <c r="CZ12" s="32">
        <f t="shared" ca="1" si="14"/>
        <v>1467467</v>
      </c>
      <c r="DA12" s="32">
        <f t="shared" ca="1" si="14"/>
        <v>1709093</v>
      </c>
      <c r="DB12" s="32">
        <f t="shared" ca="1" si="15"/>
        <v>1864565</v>
      </c>
      <c r="DC12" s="32">
        <f t="shared" ca="1" si="15"/>
        <v>1971807</v>
      </c>
      <c r="DD12" s="32">
        <f t="shared" ca="1" si="15"/>
        <v>1894446</v>
      </c>
      <c r="DE12" s="32">
        <f t="shared" ca="1" si="15"/>
        <v>1662028</v>
      </c>
      <c r="DF12" s="32">
        <f t="shared" ca="1" si="15"/>
        <v>1800586</v>
      </c>
      <c r="DG12" s="32">
        <f t="shared" ca="1" si="15"/>
        <v>1847787</v>
      </c>
      <c r="DH12" s="32">
        <f t="shared" ca="1" si="15"/>
        <v>704285</v>
      </c>
      <c r="DI12" s="32">
        <f t="shared" ca="1" si="15"/>
        <v>666367</v>
      </c>
      <c r="DJ12" s="32">
        <f t="shared" ca="1" si="15"/>
        <v>528873</v>
      </c>
      <c r="DK12" s="32">
        <f t="shared" ca="1" si="15"/>
        <v>434132</v>
      </c>
      <c r="DL12" s="32">
        <f t="shared" ca="1" si="16"/>
        <v>288715</v>
      </c>
      <c r="DM12" s="32">
        <f t="shared" ca="1" si="16"/>
        <v>193387</v>
      </c>
      <c r="DN12" s="32">
        <f t="shared" ca="1" si="16"/>
        <v>174483</v>
      </c>
      <c r="DO12" s="32">
        <f t="shared" ca="1" si="16"/>
        <v>118381</v>
      </c>
      <c r="DP12" s="32">
        <f t="shared" ca="1" si="16"/>
        <v>74816</v>
      </c>
      <c r="DQ12" s="32">
        <f t="shared" ca="1" si="16"/>
        <v>83157</v>
      </c>
      <c r="DR12" s="32">
        <f t="shared" ca="1" si="16"/>
        <v>52347</v>
      </c>
      <c r="DS12" s="32">
        <f t="shared" ca="1" si="16"/>
        <v>60693</v>
      </c>
      <c r="DT12" s="32">
        <f t="shared" ca="1" si="16"/>
        <v>80655</v>
      </c>
      <c r="DU12" s="32">
        <f t="shared" ca="1" si="16"/>
        <v>49821</v>
      </c>
      <c r="DV12" s="32">
        <f t="shared" ca="1" si="17"/>
        <v>50050</v>
      </c>
      <c r="DW12" s="32">
        <f t="shared" ca="1" si="17"/>
        <v>47172</v>
      </c>
      <c r="DX12" s="32">
        <f t="shared" ca="1" si="17"/>
        <v>38884</v>
      </c>
      <c r="DY12" s="32">
        <f t="shared" ca="1" si="17"/>
        <v>28122</v>
      </c>
      <c r="DZ12" s="32">
        <f t="shared" ca="1" si="17"/>
        <v>30556</v>
      </c>
      <c r="EA12" s="32">
        <f t="shared" ca="1" si="17"/>
        <v>58910</v>
      </c>
      <c r="EB12" s="32">
        <f t="shared" ca="1" si="17"/>
        <v>78531</v>
      </c>
      <c r="EC12" s="32">
        <f t="shared" ca="1" si="17"/>
        <v>99765</v>
      </c>
      <c r="ED12" s="32">
        <f t="shared" ca="1" si="17"/>
        <v>155810</v>
      </c>
      <c r="EE12" s="32">
        <f t="shared" ca="1" si="17"/>
        <v>172452</v>
      </c>
      <c r="EF12" s="32">
        <f t="shared" ca="1" si="18"/>
        <v>220170</v>
      </c>
      <c r="EG12" s="32">
        <f t="shared" ca="1" si="18"/>
        <v>219325</v>
      </c>
      <c r="EH12" s="32">
        <f t="shared" ca="1" si="18"/>
        <v>220991</v>
      </c>
      <c r="EI12" s="32">
        <f t="shared" ca="1" si="18"/>
        <v>199736</v>
      </c>
      <c r="EJ12" s="32">
        <f t="shared" ca="1" si="18"/>
        <v>94847</v>
      </c>
      <c r="EK12" s="32">
        <f t="shared" ca="1" si="18"/>
        <v>81254</v>
      </c>
      <c r="EL12" s="32">
        <f t="shared" ca="1" si="18"/>
        <v>48797</v>
      </c>
    </row>
    <row r="13" spans="1:142" x14ac:dyDescent="0.3">
      <c r="B13" s="110"/>
      <c r="C13" s="110"/>
      <c r="D13" s="182" t="s">
        <v>798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94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>
        <v>98406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</row>
    <row r="14" spans="1:142" x14ac:dyDescent="0.3">
      <c r="B14" s="110" t="s">
        <v>562</v>
      </c>
      <c r="C14" s="110" t="s">
        <v>386</v>
      </c>
      <c r="D14" s="182" t="str">
        <f>IF(Menu!$D$12="PT",'Dados Financeiros'!B14,'Dados Financeiros'!C14)</f>
        <v>Imóveis a comercializar - CP</v>
      </c>
      <c r="E14" s="32">
        <v>381805</v>
      </c>
      <c r="F14" s="32">
        <v>427160</v>
      </c>
      <c r="G14" s="32">
        <v>468709</v>
      </c>
      <c r="H14" s="32">
        <v>315730</v>
      </c>
      <c r="I14" s="32">
        <v>290768</v>
      </c>
      <c r="J14" s="32">
        <v>358717</v>
      </c>
      <c r="K14" s="32">
        <v>359990</v>
      </c>
      <c r="L14" s="32">
        <v>448501</v>
      </c>
      <c r="M14" s="32">
        <v>503882</v>
      </c>
      <c r="N14" s="32">
        <v>408154</v>
      </c>
      <c r="O14" s="32">
        <v>428617</v>
      </c>
      <c r="P14" s="32">
        <v>417587</v>
      </c>
      <c r="Q14" s="32">
        <v>439499</v>
      </c>
      <c r="R14" s="32">
        <v>500368</v>
      </c>
      <c r="S14" s="32">
        <v>707929</v>
      </c>
      <c r="T14" s="32">
        <v>587430</v>
      </c>
      <c r="U14" s="32">
        <v>752639</v>
      </c>
      <c r="V14" s="32">
        <v>719301</v>
      </c>
      <c r="W14" s="32">
        <v>773524</v>
      </c>
      <c r="X14" s="32">
        <v>773274</v>
      </c>
      <c r="Y14" s="32">
        <v>764155</v>
      </c>
      <c r="Z14" s="4">
        <v>613552</v>
      </c>
      <c r="AA14" s="32">
        <v>809027</v>
      </c>
      <c r="AB14" s="32">
        <v>674060</v>
      </c>
      <c r="AC14" s="32">
        <v>847029</v>
      </c>
      <c r="AD14" s="32">
        <v>726818</v>
      </c>
      <c r="AE14" s="32">
        <v>918088</v>
      </c>
      <c r="AF14" s="32">
        <v>777492</v>
      </c>
      <c r="AG14" s="32">
        <v>852663</v>
      </c>
      <c r="AH14" s="32">
        <v>842759</v>
      </c>
      <c r="AI14" s="32">
        <v>963470</v>
      </c>
      <c r="AJ14" s="32">
        <v>995216</v>
      </c>
      <c r="AK14" s="32">
        <v>1105830</v>
      </c>
      <c r="AL14" s="32">
        <v>1171883</v>
      </c>
      <c r="AM14" s="32">
        <v>1050317</v>
      </c>
      <c r="AN14" s="32">
        <v>1123302</v>
      </c>
      <c r="AO14" s="32">
        <v>916017</v>
      </c>
      <c r="AP14" s="32">
        <v>1072188</v>
      </c>
      <c r="AQ14" s="32">
        <v>1022839</v>
      </c>
      <c r="AR14" s="32">
        <v>1102404</v>
      </c>
      <c r="AS14" s="32">
        <v>1108253</v>
      </c>
      <c r="AT14" s="32">
        <v>1159470</v>
      </c>
      <c r="AU14" s="32">
        <v>1234261</v>
      </c>
      <c r="AV14" s="32">
        <v>1104722</v>
      </c>
      <c r="AW14" s="32">
        <v>1026987</v>
      </c>
      <c r="AX14" s="32">
        <v>1000919</v>
      </c>
      <c r="AY14" s="32">
        <v>949148</v>
      </c>
      <c r="AZ14" s="32">
        <v>801551</v>
      </c>
      <c r="BA14" s="32">
        <v>755620</v>
      </c>
      <c r="BB14" s="32">
        <v>672707</v>
      </c>
      <c r="BC14" s="32">
        <v>645687</v>
      </c>
      <c r="BD14" s="32">
        <v>539332</v>
      </c>
      <c r="BE14" s="32">
        <v>507003</v>
      </c>
      <c r="BF14" s="32">
        <v>468245</v>
      </c>
      <c r="BG14" s="32">
        <v>365843</v>
      </c>
      <c r="BH14" s="32">
        <v>281605</v>
      </c>
      <c r="BI14" s="32">
        <v>268755</v>
      </c>
      <c r="BJ14" s="32">
        <v>247964</v>
      </c>
      <c r="BK14" s="32">
        <v>258259</v>
      </c>
      <c r="BL14" s="32">
        <v>376296</v>
      </c>
      <c r="BM14" s="32">
        <v>334023</v>
      </c>
      <c r="BN14" s="32">
        <v>445967</v>
      </c>
      <c r="BO14" s="32">
        <v>449104</v>
      </c>
      <c r="BP14" s="32">
        <v>520421</v>
      </c>
      <c r="BQ14" s="32">
        <v>532119</v>
      </c>
      <c r="BR14" s="32">
        <v>528258</v>
      </c>
      <c r="BS14" s="32">
        <v>523805</v>
      </c>
      <c r="BT14" s="32">
        <v>504107</v>
      </c>
      <c r="BU14" s="32">
        <v>516647</v>
      </c>
      <c r="BV14" s="32">
        <v>457697</v>
      </c>
      <c r="BW14" s="32">
        <v>416436</v>
      </c>
      <c r="BX14" s="32">
        <v>388494</v>
      </c>
      <c r="BY14" s="32">
        <v>362037</v>
      </c>
      <c r="BZ14" s="32">
        <v>239817</v>
      </c>
      <c r="CA14" s="32">
        <v>203007</v>
      </c>
      <c r="CB14" s="32">
        <v>132402</v>
      </c>
      <c r="CC14" s="32">
        <v>123651</v>
      </c>
      <c r="CD14" s="32">
        <v>115055</v>
      </c>
      <c r="CE14" s="32">
        <v>127396</v>
      </c>
      <c r="CF14" s="32">
        <v>84239</v>
      </c>
      <c r="CH14" s="32">
        <f t="shared" ref="CH14:CQ18" ca="1" si="19">INDIRECT(ADDRESS(ROW(),MATCH(IF(LEFT(CH$2,2)="1S","2T",IF(LEFT(CH$2,2)="9M","3T","4T"))&amp;RIGHT(CH$2,2),$A$2:$CG$2,0)))</f>
        <v>427160</v>
      </c>
      <c r="CI14" s="32">
        <f t="shared" ca="1" si="19"/>
        <v>468709</v>
      </c>
      <c r="CJ14" s="32">
        <f t="shared" ca="1" si="19"/>
        <v>315730</v>
      </c>
      <c r="CK14" s="32">
        <f t="shared" ca="1" si="19"/>
        <v>358717</v>
      </c>
      <c r="CL14" s="32">
        <f t="shared" ca="1" si="19"/>
        <v>359990</v>
      </c>
      <c r="CM14" s="32">
        <f t="shared" ca="1" si="19"/>
        <v>448501</v>
      </c>
      <c r="CN14" s="32">
        <f t="shared" ca="1" si="19"/>
        <v>408154</v>
      </c>
      <c r="CO14" s="32">
        <f t="shared" ca="1" si="19"/>
        <v>428617</v>
      </c>
      <c r="CP14" s="32">
        <f t="shared" ca="1" si="19"/>
        <v>417587</v>
      </c>
      <c r="CQ14" s="32">
        <f t="shared" ca="1" si="19"/>
        <v>500368</v>
      </c>
      <c r="CR14" s="32">
        <f t="shared" ref="CR14:DA18" ca="1" si="20">INDIRECT(ADDRESS(ROW(),MATCH(IF(LEFT(CR$2,2)="1S","2T",IF(LEFT(CR$2,2)="9M","3T","4T"))&amp;RIGHT(CR$2,2),$A$2:$CG$2,0)))</f>
        <v>707929</v>
      </c>
      <c r="CS14" s="32">
        <f t="shared" ca="1" si="20"/>
        <v>587430</v>
      </c>
      <c r="CT14" s="32">
        <f t="shared" ca="1" si="20"/>
        <v>719301</v>
      </c>
      <c r="CU14" s="32">
        <f t="shared" ca="1" si="20"/>
        <v>773524</v>
      </c>
      <c r="CV14" s="32">
        <f t="shared" ca="1" si="20"/>
        <v>773274</v>
      </c>
      <c r="CW14" s="32">
        <f t="shared" ca="1" si="20"/>
        <v>674060</v>
      </c>
      <c r="CX14" s="32">
        <f t="shared" ca="1" si="20"/>
        <v>726818</v>
      </c>
      <c r="CY14" s="32">
        <f t="shared" ca="1" si="20"/>
        <v>777492</v>
      </c>
      <c r="CZ14" s="32">
        <f t="shared" ca="1" si="20"/>
        <v>842759</v>
      </c>
      <c r="DA14" s="32">
        <f t="shared" ca="1" si="20"/>
        <v>963470</v>
      </c>
      <c r="DB14" s="32">
        <f t="shared" ref="DB14:DK18" ca="1" si="21">INDIRECT(ADDRESS(ROW(),MATCH(IF(LEFT(DB$2,2)="1S","2T",IF(LEFT(DB$2,2)="9M","3T","4T"))&amp;RIGHT(DB$2,2),$A$2:$CG$2,0)))</f>
        <v>995216</v>
      </c>
      <c r="DC14" s="32">
        <f t="shared" ca="1" si="21"/>
        <v>1171883</v>
      </c>
      <c r="DD14" s="32">
        <f t="shared" ca="1" si="21"/>
        <v>1050317</v>
      </c>
      <c r="DE14" s="32">
        <f t="shared" ca="1" si="21"/>
        <v>1123302</v>
      </c>
      <c r="DF14" s="32">
        <f t="shared" ca="1" si="21"/>
        <v>1072188</v>
      </c>
      <c r="DG14" s="32">
        <f t="shared" ca="1" si="21"/>
        <v>1022839</v>
      </c>
      <c r="DH14" s="32">
        <f t="shared" ca="1" si="21"/>
        <v>1102404</v>
      </c>
      <c r="DI14" s="32">
        <f t="shared" ca="1" si="21"/>
        <v>1159470</v>
      </c>
      <c r="DJ14" s="32">
        <f t="shared" ca="1" si="21"/>
        <v>1234261</v>
      </c>
      <c r="DK14" s="32">
        <f t="shared" ca="1" si="21"/>
        <v>1104722</v>
      </c>
      <c r="DL14" s="32">
        <f t="shared" ref="DL14:DU18" ca="1" si="22">INDIRECT(ADDRESS(ROW(),MATCH(IF(LEFT(DL$2,2)="1S","2T",IF(LEFT(DL$2,2)="9M","3T","4T"))&amp;RIGHT(DL$2,2),$A$2:$CG$2,0)))</f>
        <v>1000919</v>
      </c>
      <c r="DM14" s="32">
        <f t="shared" ca="1" si="22"/>
        <v>949148</v>
      </c>
      <c r="DN14" s="32">
        <f t="shared" ca="1" si="22"/>
        <v>801551</v>
      </c>
      <c r="DO14" s="32">
        <f t="shared" ca="1" si="22"/>
        <v>672707</v>
      </c>
      <c r="DP14" s="32">
        <f t="shared" ca="1" si="22"/>
        <v>645687</v>
      </c>
      <c r="DQ14" s="32">
        <f t="shared" ca="1" si="22"/>
        <v>539332</v>
      </c>
      <c r="DR14" s="32">
        <f t="shared" ca="1" si="22"/>
        <v>468245</v>
      </c>
      <c r="DS14" s="32">
        <f t="shared" ca="1" si="22"/>
        <v>365843</v>
      </c>
      <c r="DT14" s="32">
        <f t="shared" ca="1" si="22"/>
        <v>281605</v>
      </c>
      <c r="DU14" s="32">
        <f t="shared" ca="1" si="22"/>
        <v>247964</v>
      </c>
      <c r="DV14" s="32">
        <f t="shared" ref="DV14:EE18" ca="1" si="23">INDIRECT(ADDRESS(ROW(),MATCH(IF(LEFT(DV$2,2)="1S","2T",IF(LEFT(DV$2,2)="9M","3T","4T"))&amp;RIGHT(DV$2,2),$A$2:$CG$2,0)))</f>
        <v>258259</v>
      </c>
      <c r="DW14" s="32">
        <f t="shared" ca="1" si="23"/>
        <v>376296</v>
      </c>
      <c r="DX14" s="32">
        <f t="shared" ca="1" si="23"/>
        <v>445967</v>
      </c>
      <c r="DY14" s="32">
        <f t="shared" ca="1" si="23"/>
        <v>449104</v>
      </c>
      <c r="DZ14" s="32">
        <f t="shared" ca="1" si="23"/>
        <v>520421</v>
      </c>
      <c r="EA14" s="32">
        <f t="shared" ca="1" si="23"/>
        <v>528258</v>
      </c>
      <c r="EB14" s="32">
        <f t="shared" ca="1" si="23"/>
        <v>523805</v>
      </c>
      <c r="EC14" s="32">
        <f t="shared" ca="1" si="23"/>
        <v>504107</v>
      </c>
      <c r="ED14" s="32">
        <f t="shared" ca="1" si="23"/>
        <v>457697</v>
      </c>
      <c r="EE14" s="32">
        <f t="shared" ca="1" si="23"/>
        <v>416436</v>
      </c>
      <c r="EF14" s="32">
        <f t="shared" ref="EF14:EL18" ca="1" si="24">INDIRECT(ADDRESS(ROW(),MATCH(IF(LEFT(EF$2,2)="1S","2T",IF(LEFT(EF$2,2)="9M","3T","4T"))&amp;RIGHT(EF$2,2),$A$2:$CG$2,0)))</f>
        <v>388494</v>
      </c>
      <c r="EG14" s="32">
        <f t="shared" ca="1" si="24"/>
        <v>239817</v>
      </c>
      <c r="EH14" s="32">
        <f t="shared" ca="1" si="24"/>
        <v>203007</v>
      </c>
      <c r="EI14" s="32">
        <f t="shared" ca="1" si="24"/>
        <v>132402</v>
      </c>
      <c r="EJ14" s="32">
        <f t="shared" ca="1" si="24"/>
        <v>115055</v>
      </c>
      <c r="EK14" s="32">
        <f t="shared" ca="1" si="24"/>
        <v>127396</v>
      </c>
      <c r="EL14" s="32">
        <f t="shared" ca="1" si="24"/>
        <v>84239</v>
      </c>
    </row>
    <row r="15" spans="1:142" x14ac:dyDescent="0.3">
      <c r="B15" s="110" t="s">
        <v>88</v>
      </c>
      <c r="C15" s="110" t="s">
        <v>387</v>
      </c>
      <c r="D15" s="182" t="str">
        <f>IF(Menu!$D$12="PT",'Dados Financeiros'!B15,'Dados Financeiros'!C15)</f>
        <v>Despesas pagas antecipadamente</v>
      </c>
      <c r="E15" s="32">
        <v>16172</v>
      </c>
      <c r="F15" s="32">
        <v>20885</v>
      </c>
      <c r="G15" s="32">
        <v>14958</v>
      </c>
      <c r="H15" s="32">
        <v>35473</v>
      </c>
      <c r="I15" s="32">
        <v>3432</v>
      </c>
      <c r="J15" s="32">
        <v>3151</v>
      </c>
      <c r="K15" s="32">
        <v>0</v>
      </c>
      <c r="L15" s="32">
        <v>2779</v>
      </c>
      <c r="M15" s="32">
        <v>4183</v>
      </c>
      <c r="N15" s="32">
        <v>5555</v>
      </c>
      <c r="O15" s="32">
        <v>6778</v>
      </c>
      <c r="P15" s="32">
        <v>6180</v>
      </c>
      <c r="Q15" s="32">
        <v>6119</v>
      </c>
      <c r="R15" s="32">
        <v>6590</v>
      </c>
      <c r="S15" s="32">
        <v>6644</v>
      </c>
      <c r="T15" s="32">
        <v>5433</v>
      </c>
      <c r="U15" s="32">
        <v>5762</v>
      </c>
      <c r="V15" s="32">
        <v>7293</v>
      </c>
      <c r="W15" s="32">
        <v>7833</v>
      </c>
      <c r="X15" s="32">
        <v>8396</v>
      </c>
      <c r="Y15" s="32">
        <v>9454</v>
      </c>
      <c r="Z15" s="4">
        <v>7575</v>
      </c>
      <c r="AA15" s="32">
        <v>8100</v>
      </c>
      <c r="AB15" s="32">
        <v>6687</v>
      </c>
      <c r="AC15" s="32">
        <v>8486</v>
      </c>
      <c r="AD15" s="32">
        <v>7077</v>
      </c>
      <c r="AE15" s="32">
        <v>8229</v>
      </c>
      <c r="AF15" s="32">
        <v>6978</v>
      </c>
      <c r="AG15" s="32">
        <v>6356</v>
      </c>
      <c r="AH15" s="32">
        <v>10112</v>
      </c>
      <c r="AI15" s="32">
        <v>9160</v>
      </c>
      <c r="AJ15" s="32">
        <v>8852</v>
      </c>
      <c r="AK15" s="32">
        <v>9220</v>
      </c>
      <c r="AL15" s="32">
        <v>8778</v>
      </c>
      <c r="AM15" s="32">
        <v>7168</v>
      </c>
      <c r="AN15" s="32">
        <v>5390</v>
      </c>
      <c r="AO15" s="32">
        <v>5795</v>
      </c>
      <c r="AP15" s="32">
        <v>4959</v>
      </c>
      <c r="AQ15" s="32">
        <v>3112</v>
      </c>
      <c r="AR15" s="32">
        <v>1998</v>
      </c>
      <c r="AS15" s="32">
        <v>2937</v>
      </c>
      <c r="AT15" s="32">
        <v>2303</v>
      </c>
      <c r="AU15" s="32">
        <v>1399</v>
      </c>
      <c r="AV15" s="32">
        <v>1143</v>
      </c>
      <c r="AW15" s="32">
        <v>4869</v>
      </c>
      <c r="AX15" s="32">
        <v>6050</v>
      </c>
      <c r="AY15" s="32">
        <v>6100</v>
      </c>
      <c r="AZ15" s="32">
        <v>5993</v>
      </c>
      <c r="BA15" s="32">
        <v>5029</v>
      </c>
      <c r="BB15" s="32">
        <v>4499</v>
      </c>
      <c r="BC15" s="32">
        <v>3842</v>
      </c>
      <c r="BD15" s="32">
        <v>3290</v>
      </c>
      <c r="BE15" s="32">
        <v>2497</v>
      </c>
      <c r="BF15" s="32">
        <v>3821</v>
      </c>
      <c r="BG15" s="32">
        <v>1165</v>
      </c>
      <c r="BH15" s="32">
        <v>464</v>
      </c>
      <c r="BI15" s="32">
        <v>918</v>
      </c>
      <c r="BJ15" s="32">
        <v>703</v>
      </c>
      <c r="BK15" s="32">
        <v>563</v>
      </c>
      <c r="BL15" s="32">
        <v>512</v>
      </c>
      <c r="BM15" s="32">
        <v>1644</v>
      </c>
      <c r="BN15" s="32">
        <v>1366</v>
      </c>
      <c r="BO15" s="32">
        <v>1513</v>
      </c>
      <c r="BP15" s="32">
        <v>1224</v>
      </c>
      <c r="BQ15" s="32">
        <v>2813</v>
      </c>
      <c r="BR15" s="32">
        <v>2524</v>
      </c>
      <c r="BS15" s="32">
        <v>2249</v>
      </c>
      <c r="BT15" s="32">
        <v>2240</v>
      </c>
      <c r="BU15" s="32">
        <v>4062</v>
      </c>
      <c r="BV15" s="32">
        <v>3540</v>
      </c>
      <c r="BW15" s="32">
        <v>3035</v>
      </c>
      <c r="BX15" s="32">
        <v>2571</v>
      </c>
      <c r="BY15" s="32">
        <v>3950</v>
      </c>
      <c r="BZ15" s="32">
        <v>3300</v>
      </c>
      <c r="CA15" s="32">
        <v>2976</v>
      </c>
      <c r="CB15" s="32">
        <v>2037</v>
      </c>
      <c r="CC15" s="32">
        <v>4116</v>
      </c>
      <c r="CD15" s="32">
        <v>3482</v>
      </c>
      <c r="CE15" s="32">
        <v>2213</v>
      </c>
      <c r="CF15" s="32">
        <v>1416</v>
      </c>
      <c r="CH15" s="32">
        <f t="shared" ca="1" si="19"/>
        <v>20885</v>
      </c>
      <c r="CI15" s="32">
        <f t="shared" ca="1" si="19"/>
        <v>14958</v>
      </c>
      <c r="CJ15" s="32">
        <f t="shared" ca="1" si="19"/>
        <v>35473</v>
      </c>
      <c r="CK15" s="32">
        <f t="shared" ca="1" si="19"/>
        <v>3151</v>
      </c>
      <c r="CL15" s="32">
        <f t="shared" ca="1" si="19"/>
        <v>0</v>
      </c>
      <c r="CM15" s="32">
        <f t="shared" ca="1" si="19"/>
        <v>2779</v>
      </c>
      <c r="CN15" s="32">
        <f t="shared" ca="1" si="19"/>
        <v>5555</v>
      </c>
      <c r="CO15" s="32">
        <f t="shared" ca="1" si="19"/>
        <v>6778</v>
      </c>
      <c r="CP15" s="32">
        <f t="shared" ca="1" si="19"/>
        <v>6180</v>
      </c>
      <c r="CQ15" s="32">
        <f t="shared" ca="1" si="19"/>
        <v>6590</v>
      </c>
      <c r="CR15" s="32">
        <f t="shared" ca="1" si="20"/>
        <v>6644</v>
      </c>
      <c r="CS15" s="32">
        <f t="shared" ca="1" si="20"/>
        <v>5433</v>
      </c>
      <c r="CT15" s="32">
        <f t="shared" ca="1" si="20"/>
        <v>7293</v>
      </c>
      <c r="CU15" s="32">
        <f t="shared" ca="1" si="20"/>
        <v>7833</v>
      </c>
      <c r="CV15" s="32">
        <f t="shared" ca="1" si="20"/>
        <v>8396</v>
      </c>
      <c r="CW15" s="32">
        <f t="shared" ca="1" si="20"/>
        <v>6687</v>
      </c>
      <c r="CX15" s="32">
        <f t="shared" ca="1" si="20"/>
        <v>7077</v>
      </c>
      <c r="CY15" s="32">
        <f t="shared" ca="1" si="20"/>
        <v>6978</v>
      </c>
      <c r="CZ15" s="32">
        <f t="shared" ca="1" si="20"/>
        <v>10112</v>
      </c>
      <c r="DA15" s="32">
        <f t="shared" ca="1" si="20"/>
        <v>9160</v>
      </c>
      <c r="DB15" s="32">
        <f t="shared" ca="1" si="21"/>
        <v>8852</v>
      </c>
      <c r="DC15" s="32">
        <f t="shared" ca="1" si="21"/>
        <v>8778</v>
      </c>
      <c r="DD15" s="32">
        <f t="shared" ca="1" si="21"/>
        <v>7168</v>
      </c>
      <c r="DE15" s="32">
        <f t="shared" ca="1" si="21"/>
        <v>5390</v>
      </c>
      <c r="DF15" s="32">
        <f t="shared" ca="1" si="21"/>
        <v>4959</v>
      </c>
      <c r="DG15" s="32">
        <f t="shared" ca="1" si="21"/>
        <v>3112</v>
      </c>
      <c r="DH15" s="32">
        <f t="shared" ca="1" si="21"/>
        <v>1998</v>
      </c>
      <c r="DI15" s="32">
        <f t="shared" ca="1" si="21"/>
        <v>2303</v>
      </c>
      <c r="DJ15" s="32">
        <f t="shared" ca="1" si="21"/>
        <v>1399</v>
      </c>
      <c r="DK15" s="32">
        <f t="shared" ca="1" si="21"/>
        <v>1143</v>
      </c>
      <c r="DL15" s="32">
        <f t="shared" ca="1" si="22"/>
        <v>6050</v>
      </c>
      <c r="DM15" s="32">
        <f t="shared" ca="1" si="22"/>
        <v>6100</v>
      </c>
      <c r="DN15" s="32">
        <f t="shared" ca="1" si="22"/>
        <v>5993</v>
      </c>
      <c r="DO15" s="32">
        <f t="shared" ca="1" si="22"/>
        <v>4499</v>
      </c>
      <c r="DP15" s="32">
        <f t="shared" ca="1" si="22"/>
        <v>3842</v>
      </c>
      <c r="DQ15" s="32">
        <f t="shared" ca="1" si="22"/>
        <v>3290</v>
      </c>
      <c r="DR15" s="32">
        <f t="shared" ca="1" si="22"/>
        <v>3821</v>
      </c>
      <c r="DS15" s="32">
        <f t="shared" ca="1" si="22"/>
        <v>1165</v>
      </c>
      <c r="DT15" s="32">
        <f t="shared" ca="1" si="22"/>
        <v>464</v>
      </c>
      <c r="DU15" s="32">
        <f t="shared" ca="1" si="22"/>
        <v>703</v>
      </c>
      <c r="DV15" s="32">
        <f t="shared" ca="1" si="23"/>
        <v>563</v>
      </c>
      <c r="DW15" s="32">
        <f t="shared" ca="1" si="23"/>
        <v>512</v>
      </c>
      <c r="DX15" s="32">
        <f t="shared" ca="1" si="23"/>
        <v>1366</v>
      </c>
      <c r="DY15" s="32">
        <f t="shared" ca="1" si="23"/>
        <v>1513</v>
      </c>
      <c r="DZ15" s="32">
        <f t="shared" ca="1" si="23"/>
        <v>1224</v>
      </c>
      <c r="EA15" s="32">
        <f t="shared" ca="1" si="23"/>
        <v>2524</v>
      </c>
      <c r="EB15" s="32">
        <f t="shared" ca="1" si="23"/>
        <v>2249</v>
      </c>
      <c r="EC15" s="32">
        <f t="shared" ca="1" si="23"/>
        <v>2240</v>
      </c>
      <c r="ED15" s="32">
        <f t="shared" ca="1" si="23"/>
        <v>3540</v>
      </c>
      <c r="EE15" s="32">
        <f t="shared" ca="1" si="23"/>
        <v>3035</v>
      </c>
      <c r="EF15" s="32">
        <f t="shared" ca="1" si="24"/>
        <v>2571</v>
      </c>
      <c r="EG15" s="32">
        <f t="shared" ca="1" si="24"/>
        <v>3300</v>
      </c>
      <c r="EH15" s="32">
        <f t="shared" ca="1" si="24"/>
        <v>2976</v>
      </c>
      <c r="EI15" s="32">
        <f t="shared" ca="1" si="24"/>
        <v>2037</v>
      </c>
      <c r="EJ15" s="32">
        <f t="shared" ca="1" si="24"/>
        <v>3482</v>
      </c>
      <c r="EK15" s="32">
        <f t="shared" ca="1" si="24"/>
        <v>2213</v>
      </c>
      <c r="EL15" s="32">
        <f t="shared" ca="1" si="24"/>
        <v>1416</v>
      </c>
    </row>
    <row r="16" spans="1:142" x14ac:dyDescent="0.3">
      <c r="B16" s="110" t="s">
        <v>87</v>
      </c>
      <c r="C16" s="110" t="s">
        <v>388</v>
      </c>
      <c r="D16" s="182" t="str">
        <f>IF(Menu!$D$12="PT",'Dados Financeiros'!B16,'Dados Financeiros'!C16)</f>
        <v>Impostos a recuperar</v>
      </c>
      <c r="E16" s="32">
        <v>1965</v>
      </c>
      <c r="F16" s="32">
        <v>4010</v>
      </c>
      <c r="G16" s="32">
        <v>5082</v>
      </c>
      <c r="H16" s="32">
        <v>7667</v>
      </c>
      <c r="I16" s="32">
        <v>7260</v>
      </c>
      <c r="J16" s="32">
        <v>7192</v>
      </c>
      <c r="K16" s="32">
        <v>7622</v>
      </c>
      <c r="L16" s="32">
        <v>8510</v>
      </c>
      <c r="M16" s="32">
        <v>9163</v>
      </c>
      <c r="N16" s="32">
        <v>9688</v>
      </c>
      <c r="O16" s="32">
        <v>9565</v>
      </c>
      <c r="P16" s="32">
        <v>9226</v>
      </c>
      <c r="Q16" s="32">
        <v>10088</v>
      </c>
      <c r="R16" s="32">
        <v>14435</v>
      </c>
      <c r="S16" s="32">
        <v>13760</v>
      </c>
      <c r="T16" s="32">
        <v>14151</v>
      </c>
      <c r="U16" s="32">
        <v>15683</v>
      </c>
      <c r="V16" s="32">
        <v>13900</v>
      </c>
      <c r="W16" s="32">
        <v>17042</v>
      </c>
      <c r="X16" s="32">
        <v>17029</v>
      </c>
      <c r="Y16" s="32">
        <v>18430</v>
      </c>
      <c r="Z16" s="4">
        <v>17133</v>
      </c>
      <c r="AA16" s="32">
        <v>21767</v>
      </c>
      <c r="AB16" s="32">
        <v>20256</v>
      </c>
      <c r="AC16" s="32">
        <v>21456</v>
      </c>
      <c r="AD16" s="32">
        <v>19566</v>
      </c>
      <c r="AE16" s="32">
        <v>20475</v>
      </c>
      <c r="AF16" s="32">
        <v>18436</v>
      </c>
      <c r="AG16" s="32">
        <v>15777</v>
      </c>
      <c r="AH16" s="32">
        <v>14573</v>
      </c>
      <c r="AI16" s="32">
        <v>14324</v>
      </c>
      <c r="AJ16" s="32">
        <v>14388</v>
      </c>
      <c r="AK16" s="32">
        <v>14702</v>
      </c>
      <c r="AL16" s="32">
        <v>15825</v>
      </c>
      <c r="AM16" s="32">
        <v>17020</v>
      </c>
      <c r="AN16" s="32">
        <v>16662</v>
      </c>
      <c r="AO16" s="32">
        <v>16561</v>
      </c>
      <c r="AP16" s="32">
        <v>20548</v>
      </c>
      <c r="AQ16" s="32">
        <v>30183</v>
      </c>
      <c r="AR16" s="32">
        <v>26324</v>
      </c>
      <c r="AS16" s="32">
        <v>27145</v>
      </c>
      <c r="AT16" s="32">
        <v>28448</v>
      </c>
      <c r="AU16" s="32">
        <v>27225</v>
      </c>
      <c r="AV16" s="32">
        <v>24910</v>
      </c>
      <c r="AW16" s="32">
        <v>28322</v>
      </c>
      <c r="AX16" s="32">
        <v>30040</v>
      </c>
      <c r="AY16" s="32">
        <v>30140</v>
      </c>
      <c r="AZ16" s="32">
        <v>25869</v>
      </c>
      <c r="BA16" s="32">
        <v>15472</v>
      </c>
      <c r="BB16" s="32">
        <v>15356</v>
      </c>
      <c r="BC16" s="32">
        <v>15298</v>
      </c>
      <c r="BD16" s="32">
        <v>12428</v>
      </c>
      <c r="BE16" s="32">
        <v>12371</v>
      </c>
      <c r="BF16" s="32">
        <v>11670</v>
      </c>
      <c r="BG16" s="32">
        <v>10368</v>
      </c>
      <c r="BH16" s="32">
        <v>16712</v>
      </c>
      <c r="BI16" s="32">
        <v>15783</v>
      </c>
      <c r="BJ16" s="32">
        <v>15300</v>
      </c>
      <c r="BK16" s="32">
        <v>14797</v>
      </c>
      <c r="BL16" s="32">
        <v>12626</v>
      </c>
      <c r="BM16" s="32">
        <v>13506</v>
      </c>
      <c r="BN16" s="32">
        <v>13866</v>
      </c>
      <c r="BO16" s="32">
        <v>13665</v>
      </c>
      <c r="BP16" s="32">
        <v>13811</v>
      </c>
      <c r="BQ16" s="32">
        <v>12007</v>
      </c>
      <c r="BR16" s="32">
        <v>13334</v>
      </c>
      <c r="BS16" s="32">
        <v>18761</v>
      </c>
      <c r="BT16" s="32">
        <v>18728</v>
      </c>
      <c r="BU16" s="32">
        <v>14067</v>
      </c>
      <c r="BV16" s="32">
        <v>12644</v>
      </c>
      <c r="BW16" s="32">
        <v>12954</v>
      </c>
      <c r="BX16" s="32">
        <v>12769</v>
      </c>
      <c r="BY16" s="32">
        <v>14635</v>
      </c>
      <c r="BZ16" s="32">
        <v>12231</v>
      </c>
      <c r="CA16" s="32">
        <v>13199</v>
      </c>
      <c r="CB16" s="32">
        <v>14162</v>
      </c>
      <c r="CC16" s="32">
        <v>13702</v>
      </c>
      <c r="CD16" s="32">
        <v>14208</v>
      </c>
      <c r="CE16" s="32">
        <v>12648</v>
      </c>
      <c r="CF16" s="32">
        <v>11510</v>
      </c>
      <c r="CH16" s="32">
        <f t="shared" ca="1" si="19"/>
        <v>4010</v>
      </c>
      <c r="CI16" s="32">
        <f t="shared" ca="1" si="19"/>
        <v>5082</v>
      </c>
      <c r="CJ16" s="32">
        <f t="shared" ca="1" si="19"/>
        <v>7667</v>
      </c>
      <c r="CK16" s="32">
        <f t="shared" ca="1" si="19"/>
        <v>7192</v>
      </c>
      <c r="CL16" s="32">
        <f t="shared" ca="1" si="19"/>
        <v>7622</v>
      </c>
      <c r="CM16" s="32">
        <f t="shared" ca="1" si="19"/>
        <v>8510</v>
      </c>
      <c r="CN16" s="32">
        <f t="shared" ca="1" si="19"/>
        <v>9688</v>
      </c>
      <c r="CO16" s="32">
        <f t="shared" ca="1" si="19"/>
        <v>9565</v>
      </c>
      <c r="CP16" s="32">
        <f t="shared" ca="1" si="19"/>
        <v>9226</v>
      </c>
      <c r="CQ16" s="32">
        <f t="shared" ca="1" si="19"/>
        <v>14435</v>
      </c>
      <c r="CR16" s="32">
        <f t="shared" ca="1" si="20"/>
        <v>13760</v>
      </c>
      <c r="CS16" s="32">
        <f t="shared" ca="1" si="20"/>
        <v>14151</v>
      </c>
      <c r="CT16" s="32">
        <f t="shared" ca="1" si="20"/>
        <v>13900</v>
      </c>
      <c r="CU16" s="32">
        <f t="shared" ca="1" si="20"/>
        <v>17042</v>
      </c>
      <c r="CV16" s="32">
        <f t="shared" ca="1" si="20"/>
        <v>17029</v>
      </c>
      <c r="CW16" s="32">
        <f t="shared" ca="1" si="20"/>
        <v>20256</v>
      </c>
      <c r="CX16" s="32">
        <f t="shared" ca="1" si="20"/>
        <v>19566</v>
      </c>
      <c r="CY16" s="32">
        <f t="shared" ca="1" si="20"/>
        <v>18436</v>
      </c>
      <c r="CZ16" s="32">
        <f t="shared" ca="1" si="20"/>
        <v>14573</v>
      </c>
      <c r="DA16" s="32">
        <f t="shared" ca="1" si="20"/>
        <v>14324</v>
      </c>
      <c r="DB16" s="32">
        <f t="shared" ca="1" si="21"/>
        <v>14388</v>
      </c>
      <c r="DC16" s="32">
        <f t="shared" ca="1" si="21"/>
        <v>15825</v>
      </c>
      <c r="DD16" s="32">
        <f t="shared" ca="1" si="21"/>
        <v>17020</v>
      </c>
      <c r="DE16" s="32">
        <f t="shared" ca="1" si="21"/>
        <v>16662</v>
      </c>
      <c r="DF16" s="32">
        <f t="shared" ca="1" si="21"/>
        <v>20548</v>
      </c>
      <c r="DG16" s="32">
        <f t="shared" ca="1" si="21"/>
        <v>30183</v>
      </c>
      <c r="DH16" s="32">
        <f t="shared" ca="1" si="21"/>
        <v>26324</v>
      </c>
      <c r="DI16" s="32">
        <f t="shared" ca="1" si="21"/>
        <v>28448</v>
      </c>
      <c r="DJ16" s="32">
        <f t="shared" ca="1" si="21"/>
        <v>27225</v>
      </c>
      <c r="DK16" s="32">
        <f t="shared" ca="1" si="21"/>
        <v>24910</v>
      </c>
      <c r="DL16" s="32">
        <f t="shared" ca="1" si="22"/>
        <v>30040</v>
      </c>
      <c r="DM16" s="32">
        <f t="shared" ca="1" si="22"/>
        <v>30140</v>
      </c>
      <c r="DN16" s="32">
        <f t="shared" ca="1" si="22"/>
        <v>25869</v>
      </c>
      <c r="DO16" s="32">
        <f t="shared" ca="1" si="22"/>
        <v>15356</v>
      </c>
      <c r="DP16" s="32">
        <f t="shared" ca="1" si="22"/>
        <v>15298</v>
      </c>
      <c r="DQ16" s="32">
        <f t="shared" ca="1" si="22"/>
        <v>12428</v>
      </c>
      <c r="DR16" s="32">
        <f t="shared" ca="1" si="22"/>
        <v>11670</v>
      </c>
      <c r="DS16" s="32">
        <f t="shared" ca="1" si="22"/>
        <v>10368</v>
      </c>
      <c r="DT16" s="32">
        <f t="shared" ca="1" si="22"/>
        <v>16712</v>
      </c>
      <c r="DU16" s="32">
        <f t="shared" ca="1" si="22"/>
        <v>15300</v>
      </c>
      <c r="DV16" s="32">
        <f t="shared" ca="1" si="23"/>
        <v>14797</v>
      </c>
      <c r="DW16" s="32">
        <f t="shared" ca="1" si="23"/>
        <v>12626</v>
      </c>
      <c r="DX16" s="32">
        <f t="shared" ca="1" si="23"/>
        <v>13866</v>
      </c>
      <c r="DY16" s="32">
        <f t="shared" ca="1" si="23"/>
        <v>13665</v>
      </c>
      <c r="DZ16" s="32">
        <f t="shared" ca="1" si="23"/>
        <v>13811</v>
      </c>
      <c r="EA16" s="32">
        <f t="shared" ca="1" si="23"/>
        <v>13334</v>
      </c>
      <c r="EB16" s="32">
        <f t="shared" ca="1" si="23"/>
        <v>18761</v>
      </c>
      <c r="EC16" s="32">
        <f t="shared" ca="1" si="23"/>
        <v>18728</v>
      </c>
      <c r="ED16" s="32">
        <f t="shared" ca="1" si="23"/>
        <v>12644</v>
      </c>
      <c r="EE16" s="32">
        <f t="shared" ca="1" si="23"/>
        <v>12954</v>
      </c>
      <c r="EF16" s="32">
        <f t="shared" ca="1" si="24"/>
        <v>12769</v>
      </c>
      <c r="EG16" s="32">
        <f t="shared" ca="1" si="24"/>
        <v>12231</v>
      </c>
      <c r="EH16" s="32">
        <f t="shared" ca="1" si="24"/>
        <v>13199</v>
      </c>
      <c r="EI16" s="32">
        <f t="shared" ca="1" si="24"/>
        <v>14162</v>
      </c>
      <c r="EJ16" s="32">
        <f t="shared" ca="1" si="24"/>
        <v>14208</v>
      </c>
      <c r="EK16" s="32">
        <f t="shared" ca="1" si="24"/>
        <v>12648</v>
      </c>
      <c r="EL16" s="32">
        <f t="shared" ca="1" si="24"/>
        <v>11510</v>
      </c>
    </row>
    <row r="17" spans="2:142" x14ac:dyDescent="0.3">
      <c r="B17" s="110" t="s">
        <v>781</v>
      </c>
      <c r="C17" s="110" t="s">
        <v>389</v>
      </c>
      <c r="D17" s="182" t="str">
        <f>IF(Menu!$D$12="PT",'Dados Financeiros'!B17,'Dados Financeiros'!C17)</f>
        <v>Outras contas a receber - CP</v>
      </c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4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>
        <v>0</v>
      </c>
      <c r="BX17" s="32">
        <v>0</v>
      </c>
      <c r="BY17" s="32">
        <v>0</v>
      </c>
      <c r="BZ17" s="32">
        <v>29771</v>
      </c>
      <c r="CA17" s="32">
        <v>0</v>
      </c>
      <c r="CB17" s="32">
        <v>0</v>
      </c>
      <c r="CC17" s="32">
        <v>0</v>
      </c>
      <c r="CD17" s="32">
        <v>38189</v>
      </c>
      <c r="CE17" s="32">
        <v>40101</v>
      </c>
      <c r="CF17" s="32">
        <v>33278</v>
      </c>
      <c r="CH17" s="32">
        <f t="shared" ca="1" si="19"/>
        <v>0</v>
      </c>
      <c r="CI17" s="32">
        <f t="shared" ca="1" si="19"/>
        <v>0</v>
      </c>
      <c r="CJ17" s="32">
        <f t="shared" ca="1" si="19"/>
        <v>0</v>
      </c>
      <c r="CK17" s="32">
        <f t="shared" ca="1" si="19"/>
        <v>0</v>
      </c>
      <c r="CL17" s="32">
        <f t="shared" ca="1" si="19"/>
        <v>0</v>
      </c>
      <c r="CM17" s="32">
        <f t="shared" ca="1" si="19"/>
        <v>0</v>
      </c>
      <c r="CN17" s="32">
        <f t="shared" ca="1" si="19"/>
        <v>0</v>
      </c>
      <c r="CO17" s="32">
        <f t="shared" ca="1" si="19"/>
        <v>0</v>
      </c>
      <c r="CP17" s="32">
        <f t="shared" ca="1" si="19"/>
        <v>0</v>
      </c>
      <c r="CQ17" s="32">
        <f t="shared" ca="1" si="19"/>
        <v>0</v>
      </c>
      <c r="CR17" s="32">
        <f t="shared" ca="1" si="20"/>
        <v>0</v>
      </c>
      <c r="CS17" s="32">
        <f t="shared" ca="1" si="20"/>
        <v>0</v>
      </c>
      <c r="CT17" s="32">
        <f t="shared" ca="1" si="20"/>
        <v>0</v>
      </c>
      <c r="CU17" s="32">
        <f t="shared" ca="1" si="20"/>
        <v>0</v>
      </c>
      <c r="CV17" s="32">
        <f t="shared" ca="1" si="20"/>
        <v>0</v>
      </c>
      <c r="CW17" s="32">
        <f t="shared" ca="1" si="20"/>
        <v>0</v>
      </c>
      <c r="CX17" s="32">
        <f t="shared" ca="1" si="20"/>
        <v>0</v>
      </c>
      <c r="CY17" s="32">
        <f t="shared" ca="1" si="20"/>
        <v>0</v>
      </c>
      <c r="CZ17" s="32">
        <f t="shared" ca="1" si="20"/>
        <v>0</v>
      </c>
      <c r="DA17" s="32">
        <f t="shared" ca="1" si="20"/>
        <v>0</v>
      </c>
      <c r="DB17" s="32">
        <f t="shared" ca="1" si="21"/>
        <v>0</v>
      </c>
      <c r="DC17" s="32">
        <f t="shared" ca="1" si="21"/>
        <v>0</v>
      </c>
      <c r="DD17" s="32">
        <f t="shared" ca="1" si="21"/>
        <v>0</v>
      </c>
      <c r="DE17" s="32">
        <f t="shared" ca="1" si="21"/>
        <v>0</v>
      </c>
      <c r="DF17" s="32">
        <f t="shared" ca="1" si="21"/>
        <v>0</v>
      </c>
      <c r="DG17" s="32">
        <f t="shared" ca="1" si="21"/>
        <v>0</v>
      </c>
      <c r="DH17" s="32">
        <f t="shared" ca="1" si="21"/>
        <v>0</v>
      </c>
      <c r="DI17" s="32">
        <f t="shared" ca="1" si="21"/>
        <v>0</v>
      </c>
      <c r="DJ17" s="32">
        <f t="shared" ca="1" si="21"/>
        <v>0</v>
      </c>
      <c r="DK17" s="32">
        <f t="shared" ca="1" si="21"/>
        <v>0</v>
      </c>
      <c r="DL17" s="32">
        <f t="shared" ca="1" si="22"/>
        <v>0</v>
      </c>
      <c r="DM17" s="32">
        <f t="shared" ca="1" si="22"/>
        <v>0</v>
      </c>
      <c r="DN17" s="32">
        <f t="shared" ca="1" si="22"/>
        <v>0</v>
      </c>
      <c r="DO17" s="32">
        <f t="shared" ca="1" si="22"/>
        <v>0</v>
      </c>
      <c r="DP17" s="32">
        <f t="shared" ca="1" si="22"/>
        <v>0</v>
      </c>
      <c r="DQ17" s="32">
        <f t="shared" ca="1" si="22"/>
        <v>0</v>
      </c>
      <c r="DR17" s="32">
        <f t="shared" ca="1" si="22"/>
        <v>0</v>
      </c>
      <c r="DS17" s="32">
        <f t="shared" ca="1" si="22"/>
        <v>0</v>
      </c>
      <c r="DT17" s="32">
        <f t="shared" ca="1" si="22"/>
        <v>0</v>
      </c>
      <c r="DU17" s="32">
        <f t="shared" ca="1" si="22"/>
        <v>0</v>
      </c>
      <c r="DV17" s="32">
        <f t="shared" ca="1" si="23"/>
        <v>0</v>
      </c>
      <c r="DW17" s="32">
        <f t="shared" ca="1" si="23"/>
        <v>0</v>
      </c>
      <c r="DX17" s="32">
        <f t="shared" ca="1" si="23"/>
        <v>0</v>
      </c>
      <c r="DY17" s="32">
        <f t="shared" ca="1" si="23"/>
        <v>0</v>
      </c>
      <c r="DZ17" s="32">
        <f t="shared" ca="1" si="23"/>
        <v>0</v>
      </c>
      <c r="EA17" s="32">
        <f t="shared" ca="1" si="23"/>
        <v>0</v>
      </c>
      <c r="EB17" s="32">
        <f t="shared" ca="1" si="23"/>
        <v>0</v>
      </c>
      <c r="EC17" s="32">
        <f t="shared" ca="1" si="23"/>
        <v>0</v>
      </c>
      <c r="ED17" s="32">
        <f t="shared" ca="1" si="23"/>
        <v>0</v>
      </c>
      <c r="EE17" s="32">
        <f t="shared" ca="1" si="23"/>
        <v>0</v>
      </c>
      <c r="EF17" s="32">
        <f t="shared" ca="1" si="24"/>
        <v>0</v>
      </c>
      <c r="EG17" s="32">
        <f t="shared" ca="1" si="24"/>
        <v>29771</v>
      </c>
      <c r="EH17" s="32">
        <f t="shared" ca="1" si="24"/>
        <v>0</v>
      </c>
      <c r="EI17" s="32">
        <f t="shared" ca="1" si="24"/>
        <v>0</v>
      </c>
      <c r="EJ17" s="32">
        <f t="shared" ca="1" si="24"/>
        <v>38189</v>
      </c>
      <c r="EK17" s="32">
        <f t="shared" ca="1" si="24"/>
        <v>40101</v>
      </c>
      <c r="EL17" s="32">
        <f t="shared" ca="1" si="24"/>
        <v>33278</v>
      </c>
    </row>
    <row r="18" spans="2:142" ht="14.4" thickBot="1" x14ac:dyDescent="0.35">
      <c r="B18" s="112" t="s">
        <v>782</v>
      </c>
      <c r="C18" s="112" t="s">
        <v>783</v>
      </c>
      <c r="D18" s="184" t="str">
        <f>IF(Menu!$D$12="PT",'Dados Financeiros'!B18,'Dados Financeiros'!C18)</f>
        <v>Créditos diversos - CP</v>
      </c>
      <c r="E18" s="36">
        <v>14563</v>
      </c>
      <c r="F18" s="36">
        <v>25346</v>
      </c>
      <c r="G18" s="36">
        <v>25826</v>
      </c>
      <c r="H18" s="36">
        <v>30920</v>
      </c>
      <c r="I18" s="36">
        <v>37825</v>
      </c>
      <c r="J18" s="36">
        <v>41595</v>
      </c>
      <c r="K18" s="36">
        <v>45126</v>
      </c>
      <c r="L18" s="36">
        <v>40331</v>
      </c>
      <c r="M18" s="36">
        <v>38665</v>
      </c>
      <c r="N18" s="36">
        <v>93187</v>
      </c>
      <c r="O18" s="36">
        <v>96637</v>
      </c>
      <c r="P18" s="36">
        <f>56393+50966</f>
        <v>107359</v>
      </c>
      <c r="Q18" s="36">
        <v>118257</v>
      </c>
      <c r="R18" s="36">
        <v>77683</v>
      </c>
      <c r="S18" s="36">
        <v>71040</v>
      </c>
      <c r="T18" s="36">
        <v>76272</v>
      </c>
      <c r="U18" s="36">
        <v>86527</v>
      </c>
      <c r="V18" s="36">
        <v>107747</v>
      </c>
      <c r="W18" s="36">
        <v>90177</v>
      </c>
      <c r="X18" s="36">
        <v>51268</v>
      </c>
      <c r="Y18" s="36">
        <v>88984</v>
      </c>
      <c r="Z18" s="36">
        <v>54607</v>
      </c>
      <c r="AA18" s="36">
        <v>100817</v>
      </c>
      <c r="AB18" s="36">
        <v>61697</v>
      </c>
      <c r="AC18" s="36">
        <v>61472</v>
      </c>
      <c r="AD18" s="36">
        <v>48574</v>
      </c>
      <c r="AE18" s="36">
        <v>60738</v>
      </c>
      <c r="AF18" s="36">
        <v>42957</v>
      </c>
      <c r="AG18" s="36">
        <v>86425</v>
      </c>
      <c r="AH18" s="36">
        <v>91796</v>
      </c>
      <c r="AI18" s="36">
        <v>95672</v>
      </c>
      <c r="AJ18" s="36">
        <v>62671</v>
      </c>
      <c r="AK18" s="36">
        <v>90007</v>
      </c>
      <c r="AL18" s="36">
        <v>61240</v>
      </c>
      <c r="AM18" s="36">
        <v>85333</v>
      </c>
      <c r="AN18" s="36">
        <v>59248</v>
      </c>
      <c r="AO18" s="36">
        <v>82634</v>
      </c>
      <c r="AP18" s="36">
        <v>67162</v>
      </c>
      <c r="AQ18" s="36">
        <v>69359</v>
      </c>
      <c r="AR18" s="36">
        <v>79566</v>
      </c>
      <c r="AS18" s="36">
        <v>52201</v>
      </c>
      <c r="AT18" s="36">
        <v>50854</v>
      </c>
      <c r="AU18" s="36">
        <v>63180</v>
      </c>
      <c r="AV18" s="36">
        <v>44769</v>
      </c>
      <c r="AW18" s="36">
        <v>65600</v>
      </c>
      <c r="AX18" s="36">
        <v>55870</v>
      </c>
      <c r="AY18" s="36">
        <v>56195</v>
      </c>
      <c r="AZ18" s="36">
        <v>28296</v>
      </c>
      <c r="BA18" s="36">
        <v>50855</v>
      </c>
      <c r="BB18" s="36">
        <v>59845</v>
      </c>
      <c r="BC18" s="36">
        <v>41437</v>
      </c>
      <c r="BD18" s="36">
        <v>43429</v>
      </c>
      <c r="BE18" s="36">
        <v>40752</v>
      </c>
      <c r="BF18" s="36">
        <v>26944</v>
      </c>
      <c r="BG18" s="36">
        <v>26343</v>
      </c>
      <c r="BH18" s="36">
        <v>26954</v>
      </c>
      <c r="BI18" s="36">
        <v>25959</v>
      </c>
      <c r="BJ18" s="36">
        <v>18665</v>
      </c>
      <c r="BK18" s="36">
        <v>30010</v>
      </c>
      <c r="BL18" s="36">
        <v>24122</v>
      </c>
      <c r="BM18" s="36">
        <v>30168</v>
      </c>
      <c r="BN18" s="36">
        <v>26279</v>
      </c>
      <c r="BO18" s="36">
        <v>30369</v>
      </c>
      <c r="BP18" s="36">
        <v>26870</v>
      </c>
      <c r="BQ18" s="36">
        <v>20934</v>
      </c>
      <c r="BR18" s="36">
        <v>21245</v>
      </c>
      <c r="BS18" s="36">
        <v>36364</v>
      </c>
      <c r="BT18" s="36">
        <v>35154</v>
      </c>
      <c r="BU18" s="36">
        <v>38273</v>
      </c>
      <c r="BV18" s="36">
        <v>40516</v>
      </c>
      <c r="BW18" s="36">
        <v>26523</v>
      </c>
      <c r="BX18" s="36">
        <v>26779</v>
      </c>
      <c r="BY18" s="36">
        <v>36603</v>
      </c>
      <c r="BZ18" s="36">
        <v>35027</v>
      </c>
      <c r="CA18" s="36">
        <v>37609</v>
      </c>
      <c r="CB18" s="36">
        <v>35041</v>
      </c>
      <c r="CC18" s="36">
        <v>35221</v>
      </c>
      <c r="CD18" s="36">
        <v>0</v>
      </c>
      <c r="CE18" s="36">
        <v>0</v>
      </c>
      <c r="CF18" s="36">
        <v>0</v>
      </c>
      <c r="CH18" s="32">
        <f t="shared" ca="1" si="19"/>
        <v>25346</v>
      </c>
      <c r="CI18" s="32">
        <f t="shared" ca="1" si="19"/>
        <v>25826</v>
      </c>
      <c r="CJ18" s="32">
        <f t="shared" ca="1" si="19"/>
        <v>30920</v>
      </c>
      <c r="CK18" s="32">
        <f t="shared" ca="1" si="19"/>
        <v>41595</v>
      </c>
      <c r="CL18" s="32">
        <f t="shared" ca="1" si="19"/>
        <v>45126</v>
      </c>
      <c r="CM18" s="32">
        <f t="shared" ca="1" si="19"/>
        <v>40331</v>
      </c>
      <c r="CN18" s="32">
        <f t="shared" ca="1" si="19"/>
        <v>93187</v>
      </c>
      <c r="CO18" s="32">
        <f t="shared" ca="1" si="19"/>
        <v>96637</v>
      </c>
      <c r="CP18" s="32">
        <f t="shared" ca="1" si="19"/>
        <v>107359</v>
      </c>
      <c r="CQ18" s="32">
        <f t="shared" ca="1" si="19"/>
        <v>77683</v>
      </c>
      <c r="CR18" s="32">
        <f t="shared" ca="1" si="20"/>
        <v>71040</v>
      </c>
      <c r="CS18" s="32">
        <f t="shared" ca="1" si="20"/>
        <v>76272</v>
      </c>
      <c r="CT18" s="32">
        <f t="shared" ca="1" si="20"/>
        <v>107747</v>
      </c>
      <c r="CU18" s="32">
        <f t="shared" ca="1" si="20"/>
        <v>90177</v>
      </c>
      <c r="CV18" s="32">
        <f t="shared" ca="1" si="20"/>
        <v>51268</v>
      </c>
      <c r="CW18" s="32">
        <f t="shared" ca="1" si="20"/>
        <v>61697</v>
      </c>
      <c r="CX18" s="32">
        <f t="shared" ca="1" si="20"/>
        <v>48574</v>
      </c>
      <c r="CY18" s="32">
        <f t="shared" ca="1" si="20"/>
        <v>42957</v>
      </c>
      <c r="CZ18" s="32">
        <f t="shared" ca="1" si="20"/>
        <v>91796</v>
      </c>
      <c r="DA18" s="32">
        <f t="shared" ca="1" si="20"/>
        <v>95672</v>
      </c>
      <c r="DB18" s="32">
        <f t="shared" ca="1" si="21"/>
        <v>62671</v>
      </c>
      <c r="DC18" s="32">
        <f t="shared" ca="1" si="21"/>
        <v>61240</v>
      </c>
      <c r="DD18" s="32">
        <f t="shared" ca="1" si="21"/>
        <v>85333</v>
      </c>
      <c r="DE18" s="32">
        <f t="shared" ca="1" si="21"/>
        <v>59248</v>
      </c>
      <c r="DF18" s="32">
        <f t="shared" ca="1" si="21"/>
        <v>67162</v>
      </c>
      <c r="DG18" s="32">
        <f t="shared" ca="1" si="21"/>
        <v>69359</v>
      </c>
      <c r="DH18" s="32">
        <f t="shared" ca="1" si="21"/>
        <v>79566</v>
      </c>
      <c r="DI18" s="32">
        <f t="shared" ca="1" si="21"/>
        <v>50854</v>
      </c>
      <c r="DJ18" s="32">
        <f t="shared" ca="1" si="21"/>
        <v>63180</v>
      </c>
      <c r="DK18" s="32">
        <f t="shared" ca="1" si="21"/>
        <v>44769</v>
      </c>
      <c r="DL18" s="32">
        <f t="shared" ca="1" si="22"/>
        <v>55870</v>
      </c>
      <c r="DM18" s="32">
        <f t="shared" ca="1" si="22"/>
        <v>56195</v>
      </c>
      <c r="DN18" s="32">
        <f t="shared" ca="1" si="22"/>
        <v>28296</v>
      </c>
      <c r="DO18" s="32">
        <f t="shared" ca="1" si="22"/>
        <v>59845</v>
      </c>
      <c r="DP18" s="32">
        <f t="shared" ca="1" si="22"/>
        <v>41437</v>
      </c>
      <c r="DQ18" s="32">
        <f t="shared" ca="1" si="22"/>
        <v>43429</v>
      </c>
      <c r="DR18" s="32">
        <f t="shared" ca="1" si="22"/>
        <v>26944</v>
      </c>
      <c r="DS18" s="32">
        <f t="shared" ca="1" si="22"/>
        <v>26343</v>
      </c>
      <c r="DT18" s="32">
        <f t="shared" ca="1" si="22"/>
        <v>26954</v>
      </c>
      <c r="DU18" s="32">
        <f t="shared" ca="1" si="22"/>
        <v>18665</v>
      </c>
      <c r="DV18" s="32">
        <f t="shared" ca="1" si="23"/>
        <v>30010</v>
      </c>
      <c r="DW18" s="32">
        <f t="shared" ca="1" si="23"/>
        <v>24122</v>
      </c>
      <c r="DX18" s="32">
        <f t="shared" ca="1" si="23"/>
        <v>26279</v>
      </c>
      <c r="DY18" s="32">
        <f t="shared" ca="1" si="23"/>
        <v>30369</v>
      </c>
      <c r="DZ18" s="32">
        <f t="shared" ca="1" si="23"/>
        <v>26870</v>
      </c>
      <c r="EA18" s="32">
        <f t="shared" ca="1" si="23"/>
        <v>21245</v>
      </c>
      <c r="EB18" s="32">
        <f t="shared" ca="1" si="23"/>
        <v>36364</v>
      </c>
      <c r="EC18" s="32">
        <f t="shared" ca="1" si="23"/>
        <v>35154</v>
      </c>
      <c r="ED18" s="32">
        <f t="shared" ca="1" si="23"/>
        <v>40516</v>
      </c>
      <c r="EE18" s="32">
        <f t="shared" ca="1" si="23"/>
        <v>26523</v>
      </c>
      <c r="EF18" s="32">
        <f t="shared" ca="1" si="24"/>
        <v>26779</v>
      </c>
      <c r="EG18" s="32">
        <f t="shared" ca="1" si="24"/>
        <v>35027</v>
      </c>
      <c r="EH18" s="32">
        <f t="shared" ca="1" si="24"/>
        <v>37609</v>
      </c>
      <c r="EI18" s="32">
        <f t="shared" ca="1" si="24"/>
        <v>35041</v>
      </c>
      <c r="EJ18" s="32">
        <f t="shared" ca="1" si="24"/>
        <v>0</v>
      </c>
      <c r="EK18" s="32">
        <f t="shared" ca="1" si="24"/>
        <v>0</v>
      </c>
      <c r="EL18" s="32">
        <f t="shared" ca="1" si="24"/>
        <v>0</v>
      </c>
    </row>
    <row r="19" spans="2:142" x14ac:dyDescent="0.3">
      <c r="B19" s="12"/>
      <c r="C19" s="113"/>
      <c r="D19" s="185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</row>
    <row r="20" spans="2:142" ht="14.4" thickBot="1" x14ac:dyDescent="0.35">
      <c r="B20" s="40" t="s">
        <v>86</v>
      </c>
      <c r="C20" s="40" t="s">
        <v>390</v>
      </c>
      <c r="D20" s="181" t="str">
        <f>IF(Menu!$D$12="PT",'Dados Financeiros'!B20,'Dados Financeiros'!C20)</f>
        <v>Realizável a longo prazo</v>
      </c>
      <c r="E20" s="20">
        <f t="shared" ref="E20:AV20" si="25">SUM(E21:E29)</f>
        <v>124774</v>
      </c>
      <c r="F20" s="20">
        <f t="shared" si="25"/>
        <v>123061</v>
      </c>
      <c r="G20" s="20">
        <f t="shared" si="25"/>
        <v>164380</v>
      </c>
      <c r="H20" s="20">
        <f t="shared" si="25"/>
        <v>408748</v>
      </c>
      <c r="I20" s="20">
        <f t="shared" si="25"/>
        <v>507703</v>
      </c>
      <c r="J20" s="20">
        <f t="shared" si="25"/>
        <v>497010</v>
      </c>
      <c r="K20" s="20">
        <f t="shared" si="25"/>
        <v>525251</v>
      </c>
      <c r="L20" s="20">
        <f t="shared" si="25"/>
        <v>528857</v>
      </c>
      <c r="M20" s="20">
        <f t="shared" si="25"/>
        <v>521045</v>
      </c>
      <c r="N20" s="20">
        <f t="shared" si="25"/>
        <v>612759</v>
      </c>
      <c r="O20" s="20">
        <f t="shared" si="25"/>
        <v>612927</v>
      </c>
      <c r="P20" s="20">
        <f t="shared" si="25"/>
        <v>687295</v>
      </c>
      <c r="Q20" s="20">
        <f t="shared" si="25"/>
        <v>791615</v>
      </c>
      <c r="R20" s="20">
        <f t="shared" si="25"/>
        <v>885368</v>
      </c>
      <c r="S20" s="20">
        <f t="shared" si="25"/>
        <v>916536</v>
      </c>
      <c r="T20" s="20">
        <f t="shared" si="25"/>
        <v>1176363</v>
      </c>
      <c r="U20" s="20">
        <f t="shared" si="25"/>
        <v>976264</v>
      </c>
      <c r="V20" s="20">
        <f t="shared" si="25"/>
        <v>1070054</v>
      </c>
      <c r="W20" s="20">
        <f t="shared" si="25"/>
        <v>1060326</v>
      </c>
      <c r="X20" s="20">
        <f t="shared" si="25"/>
        <v>1192334</v>
      </c>
      <c r="Y20" s="20">
        <f t="shared" si="25"/>
        <v>1238918</v>
      </c>
      <c r="Z20" s="20">
        <f t="shared" si="25"/>
        <v>1161041</v>
      </c>
      <c r="AA20" s="20">
        <f t="shared" si="25"/>
        <v>1245318</v>
      </c>
      <c r="AB20" s="20">
        <f t="shared" si="25"/>
        <v>1187152</v>
      </c>
      <c r="AC20" s="20">
        <f t="shared" si="25"/>
        <v>1262900</v>
      </c>
      <c r="AD20" s="20">
        <f t="shared" si="25"/>
        <v>1200059</v>
      </c>
      <c r="AE20" s="20">
        <f t="shared" si="25"/>
        <v>1341200</v>
      </c>
      <c r="AF20" s="20">
        <f t="shared" si="25"/>
        <v>1285274</v>
      </c>
      <c r="AG20" s="20">
        <f t="shared" si="25"/>
        <v>1234305</v>
      </c>
      <c r="AH20" s="20">
        <f t="shared" si="25"/>
        <v>1225506</v>
      </c>
      <c r="AI20" s="20">
        <f t="shared" si="25"/>
        <v>1127962</v>
      </c>
      <c r="AJ20" s="20">
        <f t="shared" si="25"/>
        <v>952327</v>
      </c>
      <c r="AK20" s="20">
        <f t="shared" si="25"/>
        <v>1026619</v>
      </c>
      <c r="AL20" s="20">
        <f t="shared" si="25"/>
        <v>980927</v>
      </c>
      <c r="AM20" s="20">
        <f t="shared" si="25"/>
        <v>1202436</v>
      </c>
      <c r="AN20" s="20">
        <f t="shared" si="25"/>
        <v>1239526</v>
      </c>
      <c r="AO20" s="20">
        <f t="shared" si="25"/>
        <v>1489291</v>
      </c>
      <c r="AP20" s="20">
        <f t="shared" si="25"/>
        <v>1043060</v>
      </c>
      <c r="AQ20" s="20">
        <f t="shared" si="25"/>
        <v>1024206</v>
      </c>
      <c r="AR20" s="20">
        <f t="shared" si="25"/>
        <v>706814</v>
      </c>
      <c r="AS20" s="20">
        <f t="shared" si="25"/>
        <v>703456</v>
      </c>
      <c r="AT20" s="20">
        <f t="shared" si="25"/>
        <v>715077</v>
      </c>
      <c r="AU20" s="20">
        <f t="shared" si="25"/>
        <v>690701</v>
      </c>
      <c r="AV20" s="20">
        <f t="shared" si="25"/>
        <v>572698</v>
      </c>
      <c r="AW20" s="20">
        <f t="shared" ref="AW20:AX20" si="26">SUM(AW21:AW29)</f>
        <v>575233</v>
      </c>
      <c r="AX20" s="20">
        <f t="shared" si="26"/>
        <v>453148</v>
      </c>
      <c r="AY20" s="20">
        <f t="shared" ref="AY20:BC20" si="27">SUM(AY21:AY29)</f>
        <v>448391</v>
      </c>
      <c r="AZ20" s="20">
        <f t="shared" ref="AZ20:BB20" si="28">SUM(AZ21:AZ29)</f>
        <v>412146</v>
      </c>
      <c r="BA20" s="20">
        <f t="shared" si="28"/>
        <v>404104</v>
      </c>
      <c r="BB20" s="20">
        <f t="shared" si="28"/>
        <v>398887</v>
      </c>
      <c r="BC20" s="20">
        <f t="shared" si="27"/>
        <v>411822</v>
      </c>
      <c r="BD20" s="20">
        <f t="shared" ref="BD20:BE20" si="29">SUM(BD21:BD29)</f>
        <v>416307</v>
      </c>
      <c r="BE20" s="20">
        <f t="shared" si="29"/>
        <v>412612</v>
      </c>
      <c r="BF20" s="20">
        <f t="shared" ref="BF20:BG20" si="30">SUM(BF21:BF29)</f>
        <v>348544</v>
      </c>
      <c r="BG20" s="20">
        <f t="shared" si="30"/>
        <v>352410</v>
      </c>
      <c r="BH20" s="20">
        <f t="shared" ref="BH20:BN20" si="31">SUM(BH21:BH29)</f>
        <v>331809</v>
      </c>
      <c r="BI20" s="20">
        <f t="shared" si="31"/>
        <v>404036</v>
      </c>
      <c r="BJ20" s="20">
        <f t="shared" si="31"/>
        <v>425534</v>
      </c>
      <c r="BK20" s="20">
        <f t="shared" si="31"/>
        <v>476569</v>
      </c>
      <c r="BL20" s="20">
        <f t="shared" si="31"/>
        <v>427405</v>
      </c>
      <c r="BM20" s="20">
        <f t="shared" si="31"/>
        <v>461806</v>
      </c>
      <c r="BN20" s="20">
        <f t="shared" si="31"/>
        <v>286032</v>
      </c>
      <c r="BO20" s="20">
        <v>238141</v>
      </c>
      <c r="BP20" s="20">
        <f t="shared" ref="BP20:BS20" si="32">SUM(BP21:BP29)</f>
        <v>172155</v>
      </c>
      <c r="BQ20" s="20">
        <f t="shared" si="32"/>
        <v>152712</v>
      </c>
      <c r="BR20" s="20">
        <f t="shared" si="32"/>
        <v>179288</v>
      </c>
      <c r="BS20" s="20">
        <f t="shared" si="32"/>
        <v>187347</v>
      </c>
      <c r="BT20" s="20">
        <f t="shared" ref="BT20:BW20" si="33">SUM(BT21:BT29)</f>
        <v>219288</v>
      </c>
      <c r="BU20" s="20">
        <f t="shared" si="33"/>
        <v>188659</v>
      </c>
      <c r="BV20" s="20">
        <f t="shared" si="33"/>
        <v>252198</v>
      </c>
      <c r="BW20" s="20">
        <f t="shared" si="33"/>
        <v>262559</v>
      </c>
      <c r="BX20" s="20">
        <f t="shared" ref="BX20:BY20" si="34">SUM(BX21:BX29)</f>
        <v>280880</v>
      </c>
      <c r="BY20" s="20">
        <f t="shared" si="34"/>
        <v>248886</v>
      </c>
      <c r="BZ20" s="20">
        <f t="shared" ref="BZ20:CB20" si="35">SUM(BZ21:BZ29)</f>
        <v>230089</v>
      </c>
      <c r="CA20" s="20">
        <f t="shared" si="35"/>
        <v>238784</v>
      </c>
      <c r="CB20" s="20">
        <f t="shared" si="35"/>
        <v>241408</v>
      </c>
      <c r="CC20" s="20">
        <f t="shared" ref="CC20:CD20" si="36">SUM(CC21:CC29)</f>
        <v>244339</v>
      </c>
      <c r="CD20" s="20">
        <f t="shared" si="36"/>
        <v>243727</v>
      </c>
      <c r="CE20" s="20">
        <f t="shared" ref="CE20:CF20" si="37">SUM(CE21:CE29)</f>
        <v>209849</v>
      </c>
      <c r="CF20" s="20">
        <f t="shared" si="37"/>
        <v>229147</v>
      </c>
      <c r="CH20" s="20">
        <f t="shared" ref="CH20:EB20" ca="1" si="38">SUM(CH21:CH29)</f>
        <v>123061</v>
      </c>
      <c r="CI20" s="20">
        <f t="shared" ca="1" si="38"/>
        <v>164380</v>
      </c>
      <c r="CJ20" s="20">
        <f t="shared" ca="1" si="38"/>
        <v>408748</v>
      </c>
      <c r="CK20" s="20">
        <f t="shared" ca="1" si="38"/>
        <v>497010</v>
      </c>
      <c r="CL20" s="20">
        <f t="shared" ca="1" si="38"/>
        <v>525251</v>
      </c>
      <c r="CM20" s="20">
        <f t="shared" ca="1" si="38"/>
        <v>528857</v>
      </c>
      <c r="CN20" s="20">
        <f t="shared" ca="1" si="38"/>
        <v>612759</v>
      </c>
      <c r="CO20" s="20">
        <f t="shared" ca="1" si="38"/>
        <v>612927</v>
      </c>
      <c r="CP20" s="20">
        <f t="shared" ca="1" si="38"/>
        <v>687295</v>
      </c>
      <c r="CQ20" s="20">
        <f t="shared" ca="1" si="38"/>
        <v>885368</v>
      </c>
      <c r="CR20" s="20">
        <f t="shared" ca="1" si="38"/>
        <v>916536</v>
      </c>
      <c r="CS20" s="20">
        <f t="shared" ca="1" si="38"/>
        <v>1176363</v>
      </c>
      <c r="CT20" s="20">
        <f t="shared" ca="1" si="38"/>
        <v>1070054</v>
      </c>
      <c r="CU20" s="20">
        <f t="shared" ca="1" si="38"/>
        <v>1060326</v>
      </c>
      <c r="CV20" s="20">
        <f t="shared" ca="1" si="38"/>
        <v>1192334</v>
      </c>
      <c r="CW20" s="20">
        <f t="shared" ca="1" si="38"/>
        <v>1187152</v>
      </c>
      <c r="CX20" s="20">
        <f t="shared" ca="1" si="38"/>
        <v>1200059</v>
      </c>
      <c r="CY20" s="20">
        <f t="shared" ca="1" si="38"/>
        <v>1285274</v>
      </c>
      <c r="CZ20" s="20">
        <f t="shared" ca="1" si="38"/>
        <v>1225506</v>
      </c>
      <c r="DA20" s="20">
        <f t="shared" ca="1" si="38"/>
        <v>1127962</v>
      </c>
      <c r="DB20" s="20">
        <f t="shared" ca="1" si="38"/>
        <v>952327</v>
      </c>
      <c r="DC20" s="20">
        <f t="shared" ca="1" si="38"/>
        <v>980927</v>
      </c>
      <c r="DD20" s="20">
        <f t="shared" ca="1" si="38"/>
        <v>1202436</v>
      </c>
      <c r="DE20" s="20">
        <f t="shared" ca="1" si="38"/>
        <v>1239526</v>
      </c>
      <c r="DF20" s="20">
        <f t="shared" ca="1" si="38"/>
        <v>1043060</v>
      </c>
      <c r="DG20" s="20">
        <f t="shared" ca="1" si="38"/>
        <v>1024206</v>
      </c>
      <c r="DH20" s="20">
        <f t="shared" ca="1" si="38"/>
        <v>706814</v>
      </c>
      <c r="DI20" s="20">
        <f t="shared" ca="1" si="38"/>
        <v>715077</v>
      </c>
      <c r="DJ20" s="20">
        <f t="shared" ca="1" si="38"/>
        <v>690701</v>
      </c>
      <c r="DK20" s="20">
        <f t="shared" ca="1" si="38"/>
        <v>572698</v>
      </c>
      <c r="DL20" s="20">
        <f t="shared" ca="1" si="38"/>
        <v>453148</v>
      </c>
      <c r="DM20" s="20">
        <f t="shared" ca="1" si="38"/>
        <v>448391</v>
      </c>
      <c r="DN20" s="20">
        <f t="shared" ca="1" si="38"/>
        <v>412146</v>
      </c>
      <c r="DO20" s="20">
        <f t="shared" ca="1" si="38"/>
        <v>398887</v>
      </c>
      <c r="DP20" s="20">
        <f t="shared" ca="1" si="38"/>
        <v>411822</v>
      </c>
      <c r="DQ20" s="20">
        <f t="shared" ca="1" si="38"/>
        <v>416307</v>
      </c>
      <c r="DR20" s="20">
        <f t="shared" ca="1" si="38"/>
        <v>348544</v>
      </c>
      <c r="DS20" s="20">
        <f t="shared" ca="1" si="38"/>
        <v>352410</v>
      </c>
      <c r="DT20" s="20">
        <f t="shared" ca="1" si="38"/>
        <v>331809</v>
      </c>
      <c r="DU20" s="20">
        <f t="shared" ca="1" si="38"/>
        <v>425534</v>
      </c>
      <c r="DV20" s="20">
        <f t="shared" ca="1" si="38"/>
        <v>476569</v>
      </c>
      <c r="DW20" s="20">
        <f t="shared" ca="1" si="38"/>
        <v>427405</v>
      </c>
      <c r="DX20" s="20">
        <f t="shared" ca="1" si="38"/>
        <v>286032</v>
      </c>
      <c r="DY20" s="20">
        <f t="shared" ca="1" si="38"/>
        <v>238141</v>
      </c>
      <c r="DZ20" s="20">
        <f t="shared" ca="1" si="38"/>
        <v>172155</v>
      </c>
      <c r="EA20" s="20">
        <f t="shared" ca="1" si="38"/>
        <v>179288</v>
      </c>
      <c r="EB20" s="20">
        <f t="shared" ca="1" si="38"/>
        <v>187347</v>
      </c>
      <c r="EC20" s="20">
        <f t="shared" ref="EC20:EF20" ca="1" si="39">SUM(EC21:EC29)</f>
        <v>219288</v>
      </c>
      <c r="ED20" s="20">
        <f t="shared" ca="1" si="39"/>
        <v>252198</v>
      </c>
      <c r="EE20" s="20">
        <f t="shared" ca="1" si="39"/>
        <v>262559</v>
      </c>
      <c r="EF20" s="20">
        <f t="shared" ca="1" si="39"/>
        <v>280880</v>
      </c>
      <c r="EG20" s="20">
        <f t="shared" ref="EG20:EH20" ca="1" si="40">SUM(EG21:EG29)</f>
        <v>230089</v>
      </c>
      <c r="EH20" s="20">
        <f t="shared" ca="1" si="40"/>
        <v>238784</v>
      </c>
      <c r="EI20" s="20">
        <f t="shared" ref="EI20:EK20" ca="1" si="41">SUM(EI21:EI29)</f>
        <v>241408</v>
      </c>
      <c r="EJ20" s="20">
        <f t="shared" ca="1" si="41"/>
        <v>243727</v>
      </c>
      <c r="EK20" s="20">
        <f t="shared" ca="1" si="41"/>
        <v>209849</v>
      </c>
      <c r="EL20" s="20">
        <f t="shared" ref="EL20" ca="1" si="42">SUM(EL21:EL29)</f>
        <v>214277</v>
      </c>
    </row>
    <row r="21" spans="2:142" x14ac:dyDescent="0.3">
      <c r="B21" s="110" t="s">
        <v>563</v>
      </c>
      <c r="C21" s="110" t="s">
        <v>384</v>
      </c>
      <c r="D21" s="183" t="str">
        <f>IF(Menu!$D$12="PT",'Dados Financeiros'!B21,'Dados Financeiros'!C21)</f>
        <v>Títulos e valores mobiliários - LP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32">
        <v>0</v>
      </c>
      <c r="AO21" s="32">
        <v>0</v>
      </c>
      <c r="AP21" s="32">
        <v>43579</v>
      </c>
      <c r="AQ21" s="32">
        <v>70366</v>
      </c>
      <c r="AR21" s="32">
        <v>53849</v>
      </c>
      <c r="AS21" s="32">
        <v>78647</v>
      </c>
      <c r="AT21" s="32">
        <v>79285</v>
      </c>
      <c r="AU21" s="32">
        <v>81114</v>
      </c>
      <c r="AV21" s="32">
        <v>82471</v>
      </c>
      <c r="AW21" s="32">
        <v>49518</v>
      </c>
      <c r="AX21" s="32">
        <v>50752</v>
      </c>
      <c r="AY21" s="32">
        <v>51046</v>
      </c>
      <c r="AZ21" s="32">
        <v>53885</v>
      </c>
      <c r="BA21" s="32">
        <v>52578</v>
      </c>
      <c r="BB21" s="32">
        <v>53125</v>
      </c>
      <c r="BC21" s="32">
        <v>53338</v>
      </c>
      <c r="BD21" s="32">
        <v>53628</v>
      </c>
      <c r="BE21" s="32">
        <v>57640</v>
      </c>
      <c r="BF21" s="32">
        <v>52962</v>
      </c>
      <c r="BG21" s="32">
        <v>53764</v>
      </c>
      <c r="BH21" s="32">
        <v>54419</v>
      </c>
      <c r="BI21" s="32">
        <v>54462</v>
      </c>
      <c r="BJ21" s="32">
        <v>54857</v>
      </c>
      <c r="BK21" s="32">
        <v>56084</v>
      </c>
      <c r="BL21" s="32">
        <v>56339</v>
      </c>
      <c r="BM21" s="32">
        <v>56601</v>
      </c>
      <c r="BN21" s="32">
        <v>951</v>
      </c>
      <c r="BO21" s="32">
        <v>951</v>
      </c>
      <c r="BP21" s="32">
        <v>951</v>
      </c>
      <c r="BQ21" s="32">
        <v>2388</v>
      </c>
      <c r="BR21" s="32">
        <v>2388</v>
      </c>
      <c r="BS21" s="32">
        <v>2388</v>
      </c>
      <c r="BT21" s="32">
        <v>4127</v>
      </c>
      <c r="BU21" s="32">
        <v>4588</v>
      </c>
      <c r="BV21" s="32">
        <v>4729</v>
      </c>
      <c r="BW21" s="32">
        <v>4841</v>
      </c>
      <c r="BX21" s="32">
        <v>4976</v>
      </c>
      <c r="BY21" s="32">
        <v>5048</v>
      </c>
      <c r="BZ21" s="32">
        <v>5174</v>
      </c>
      <c r="CA21" s="32">
        <v>5344</v>
      </c>
      <c r="CB21" s="32">
        <v>9578</v>
      </c>
      <c r="CC21" s="32">
        <v>5383</v>
      </c>
      <c r="CD21" s="32">
        <v>11778</v>
      </c>
      <c r="CE21" s="32">
        <v>12021</v>
      </c>
      <c r="CF21" s="32">
        <v>0</v>
      </c>
      <c r="CH21" s="94">
        <f t="shared" ref="CH21:CQ22" ca="1" si="43">INDIRECT(ADDRESS(ROW(),MATCH(IF(LEFT(CH$2,2)="1S","2T",IF(LEFT(CH$2,2)="9M","3T","4T"))&amp;RIGHT(CH$2,2),$A$2:$CG$2,0)))</f>
        <v>0</v>
      </c>
      <c r="CI21" s="94">
        <f t="shared" ca="1" si="43"/>
        <v>0</v>
      </c>
      <c r="CJ21" s="94">
        <f t="shared" ca="1" si="43"/>
        <v>0</v>
      </c>
      <c r="CK21" s="94">
        <f t="shared" ca="1" si="43"/>
        <v>0</v>
      </c>
      <c r="CL21" s="94">
        <f t="shared" ca="1" si="43"/>
        <v>0</v>
      </c>
      <c r="CM21" s="94">
        <f t="shared" ca="1" si="43"/>
        <v>0</v>
      </c>
      <c r="CN21" s="94">
        <f t="shared" ca="1" si="43"/>
        <v>0</v>
      </c>
      <c r="CO21" s="94">
        <f t="shared" ca="1" si="43"/>
        <v>0</v>
      </c>
      <c r="CP21" s="94">
        <f t="shared" ca="1" si="43"/>
        <v>0</v>
      </c>
      <c r="CQ21" s="94">
        <f t="shared" ca="1" si="43"/>
        <v>0</v>
      </c>
      <c r="CR21" s="94">
        <f t="shared" ref="CR21:DA22" ca="1" si="44">INDIRECT(ADDRESS(ROW(),MATCH(IF(LEFT(CR$2,2)="1S","2T",IF(LEFT(CR$2,2)="9M","3T","4T"))&amp;RIGHT(CR$2,2),$A$2:$CG$2,0)))</f>
        <v>0</v>
      </c>
      <c r="CS21" s="94">
        <f t="shared" ca="1" si="44"/>
        <v>0</v>
      </c>
      <c r="CT21" s="94">
        <f t="shared" ca="1" si="44"/>
        <v>0</v>
      </c>
      <c r="CU21" s="94">
        <f t="shared" ca="1" si="44"/>
        <v>0</v>
      </c>
      <c r="CV21" s="94">
        <f t="shared" ca="1" si="44"/>
        <v>0</v>
      </c>
      <c r="CW21" s="94">
        <f t="shared" ca="1" si="44"/>
        <v>0</v>
      </c>
      <c r="CX21" s="94">
        <f t="shared" ca="1" si="44"/>
        <v>0</v>
      </c>
      <c r="CY21" s="94">
        <f t="shared" ca="1" si="44"/>
        <v>0</v>
      </c>
      <c r="CZ21" s="94">
        <f t="shared" ca="1" si="44"/>
        <v>0</v>
      </c>
      <c r="DA21" s="94">
        <f t="shared" ca="1" si="44"/>
        <v>0</v>
      </c>
      <c r="DB21" s="94">
        <f t="shared" ref="DB21:DK22" ca="1" si="45">INDIRECT(ADDRESS(ROW(),MATCH(IF(LEFT(DB$2,2)="1S","2T",IF(LEFT(DB$2,2)="9M","3T","4T"))&amp;RIGHT(DB$2,2),$A$2:$CG$2,0)))</f>
        <v>0</v>
      </c>
      <c r="DC21" s="94">
        <f t="shared" ca="1" si="45"/>
        <v>0</v>
      </c>
      <c r="DD21" s="94">
        <f t="shared" ca="1" si="45"/>
        <v>0</v>
      </c>
      <c r="DE21" s="94">
        <f t="shared" ca="1" si="45"/>
        <v>0</v>
      </c>
      <c r="DF21" s="94">
        <f t="shared" ca="1" si="45"/>
        <v>43579</v>
      </c>
      <c r="DG21" s="94">
        <f t="shared" ca="1" si="45"/>
        <v>70366</v>
      </c>
      <c r="DH21" s="94">
        <f t="shared" ca="1" si="45"/>
        <v>53849</v>
      </c>
      <c r="DI21" s="94">
        <f t="shared" ca="1" si="45"/>
        <v>79285</v>
      </c>
      <c r="DJ21" s="94">
        <f t="shared" ca="1" si="45"/>
        <v>81114</v>
      </c>
      <c r="DK21" s="94">
        <f t="shared" ca="1" si="45"/>
        <v>82471</v>
      </c>
      <c r="DL21" s="94">
        <f t="shared" ref="DL21:DU22" ca="1" si="46">INDIRECT(ADDRESS(ROW(),MATCH(IF(LEFT(DL$2,2)="1S","2T",IF(LEFT(DL$2,2)="9M","3T","4T"))&amp;RIGHT(DL$2,2),$A$2:$CG$2,0)))</f>
        <v>50752</v>
      </c>
      <c r="DM21" s="94">
        <f t="shared" ca="1" si="46"/>
        <v>51046</v>
      </c>
      <c r="DN21" s="94">
        <f t="shared" ca="1" si="46"/>
        <v>53885</v>
      </c>
      <c r="DO21" s="94">
        <f t="shared" ca="1" si="46"/>
        <v>53125</v>
      </c>
      <c r="DP21" s="94">
        <f t="shared" ca="1" si="46"/>
        <v>53338</v>
      </c>
      <c r="DQ21" s="94">
        <f t="shared" ca="1" si="46"/>
        <v>53628</v>
      </c>
      <c r="DR21" s="94">
        <f t="shared" ca="1" si="46"/>
        <v>52962</v>
      </c>
      <c r="DS21" s="94">
        <f t="shared" ca="1" si="46"/>
        <v>53764</v>
      </c>
      <c r="DT21" s="94">
        <f t="shared" ca="1" si="46"/>
        <v>54419</v>
      </c>
      <c r="DU21" s="94">
        <f t="shared" ca="1" si="46"/>
        <v>54857</v>
      </c>
      <c r="DV21" s="94">
        <f t="shared" ref="DV21:EE22" ca="1" si="47">INDIRECT(ADDRESS(ROW(),MATCH(IF(LEFT(DV$2,2)="1S","2T",IF(LEFT(DV$2,2)="9M","3T","4T"))&amp;RIGHT(DV$2,2),$A$2:$CG$2,0)))</f>
        <v>56084</v>
      </c>
      <c r="DW21" s="94">
        <f t="shared" ca="1" si="47"/>
        <v>56339</v>
      </c>
      <c r="DX21" s="94">
        <f t="shared" ca="1" si="47"/>
        <v>951</v>
      </c>
      <c r="DY21" s="94">
        <f t="shared" ca="1" si="47"/>
        <v>951</v>
      </c>
      <c r="DZ21" s="94">
        <f t="shared" ca="1" si="47"/>
        <v>951</v>
      </c>
      <c r="EA21" s="94">
        <f t="shared" ca="1" si="47"/>
        <v>2388</v>
      </c>
      <c r="EB21" s="94">
        <f t="shared" ca="1" si="47"/>
        <v>2388</v>
      </c>
      <c r="EC21" s="94">
        <f t="shared" ca="1" si="47"/>
        <v>4127</v>
      </c>
      <c r="ED21" s="94">
        <f t="shared" ca="1" si="47"/>
        <v>4729</v>
      </c>
      <c r="EE21" s="94">
        <f t="shared" ca="1" si="47"/>
        <v>4841</v>
      </c>
      <c r="EF21" s="94">
        <f t="shared" ref="EF21:EL22" ca="1" si="48">INDIRECT(ADDRESS(ROW(),MATCH(IF(LEFT(EF$2,2)="1S","2T",IF(LEFT(EF$2,2)="9M","3T","4T"))&amp;RIGHT(EF$2,2),$A$2:$CG$2,0)))</f>
        <v>4976</v>
      </c>
      <c r="EG21" s="94">
        <f t="shared" ca="1" si="48"/>
        <v>5174</v>
      </c>
      <c r="EH21" s="94">
        <f t="shared" ca="1" si="48"/>
        <v>5344</v>
      </c>
      <c r="EI21" s="94">
        <f t="shared" ca="1" si="48"/>
        <v>9578</v>
      </c>
      <c r="EJ21" s="94">
        <f t="shared" ca="1" si="48"/>
        <v>11778</v>
      </c>
      <c r="EK21" s="94">
        <f t="shared" ca="1" si="48"/>
        <v>12021</v>
      </c>
      <c r="EL21" s="94">
        <f t="shared" ca="1" si="48"/>
        <v>0</v>
      </c>
    </row>
    <row r="22" spans="2:142" x14ac:dyDescent="0.3">
      <c r="B22" s="110" t="s">
        <v>564</v>
      </c>
      <c r="C22" s="110" t="s">
        <v>385</v>
      </c>
      <c r="D22" s="183" t="str">
        <f>IF(Menu!$D$12="PT",'Dados Financeiros'!B22,'Dados Financeiros'!C22)</f>
        <v>Contas a receber de clientes - LP</v>
      </c>
      <c r="E22" s="4">
        <v>103765</v>
      </c>
      <c r="F22" s="4">
        <v>100540</v>
      </c>
      <c r="G22" s="4">
        <v>134016</v>
      </c>
      <c r="H22" s="4">
        <v>135639</v>
      </c>
      <c r="I22" s="4">
        <v>164131</v>
      </c>
      <c r="J22" s="4">
        <v>200489</v>
      </c>
      <c r="K22" s="4">
        <v>214020</v>
      </c>
      <c r="L22" s="4">
        <v>222485</v>
      </c>
      <c r="M22" s="4">
        <v>263282</v>
      </c>
      <c r="N22" s="4">
        <v>299777</v>
      </c>
      <c r="O22" s="4">
        <v>275278</v>
      </c>
      <c r="P22" s="4">
        <v>287106</v>
      </c>
      <c r="Q22" s="4">
        <v>375025</v>
      </c>
      <c r="R22" s="4">
        <v>425004</v>
      </c>
      <c r="S22" s="4">
        <v>404913</v>
      </c>
      <c r="T22" s="4">
        <v>624375</v>
      </c>
      <c r="U22" s="4">
        <v>540177</v>
      </c>
      <c r="V22" s="4">
        <v>655862</v>
      </c>
      <c r="W22" s="4">
        <v>630037</v>
      </c>
      <c r="X22" s="4">
        <v>625725</v>
      </c>
      <c r="Y22" s="4">
        <v>638961</v>
      </c>
      <c r="Z22" s="4">
        <v>548813</v>
      </c>
      <c r="AA22" s="4">
        <v>697082</v>
      </c>
      <c r="AB22" s="4">
        <v>618125</v>
      </c>
      <c r="AC22" s="4">
        <v>728191</v>
      </c>
      <c r="AD22" s="4">
        <v>650988</v>
      </c>
      <c r="AE22" s="4">
        <v>717878</v>
      </c>
      <c r="AF22" s="4">
        <v>633869</v>
      </c>
      <c r="AG22" s="4">
        <v>646912</v>
      </c>
      <c r="AH22" s="4">
        <v>608748</v>
      </c>
      <c r="AI22" s="4">
        <v>476536</v>
      </c>
      <c r="AJ22" s="4">
        <v>362988</v>
      </c>
      <c r="AK22" s="4">
        <v>425323</v>
      </c>
      <c r="AL22" s="4">
        <v>435084</v>
      </c>
      <c r="AM22" s="4">
        <v>474525</v>
      </c>
      <c r="AN22" s="32">
        <v>514425</v>
      </c>
      <c r="AO22" s="32">
        <v>546462</v>
      </c>
      <c r="AP22" s="32">
        <v>233055</v>
      </c>
      <c r="AQ22" s="32">
        <v>138813</v>
      </c>
      <c r="AR22" s="32">
        <v>54589</v>
      </c>
      <c r="AS22" s="32">
        <v>38724</v>
      </c>
      <c r="AT22" s="32">
        <v>26833</v>
      </c>
      <c r="AU22" s="32">
        <v>24269</v>
      </c>
      <c r="AV22" s="32">
        <v>22443</v>
      </c>
      <c r="AW22" s="32">
        <v>29152</v>
      </c>
      <c r="AX22" s="32">
        <v>28458</v>
      </c>
      <c r="AY22" s="32">
        <v>27341</v>
      </c>
      <c r="AZ22" s="32">
        <v>22204</v>
      </c>
      <c r="BA22" s="32">
        <v>22886</v>
      </c>
      <c r="BB22" s="32">
        <v>24031</v>
      </c>
      <c r="BC22" s="32">
        <v>14882</v>
      </c>
      <c r="BD22" s="32">
        <v>5789</v>
      </c>
      <c r="BE22" s="32">
        <v>15417</v>
      </c>
      <c r="BF22" s="32">
        <v>15660</v>
      </c>
      <c r="BG22" s="32">
        <v>16269</v>
      </c>
      <c r="BH22" s="32">
        <v>27246</v>
      </c>
      <c r="BI22" s="32">
        <v>69343</v>
      </c>
      <c r="BJ22" s="32">
        <v>88919</v>
      </c>
      <c r="BK22" s="32">
        <v>113847</v>
      </c>
      <c r="BL22" s="32">
        <v>126464</v>
      </c>
      <c r="BM22" s="32">
        <v>75436</v>
      </c>
      <c r="BN22" s="32">
        <v>76868</v>
      </c>
      <c r="BO22" s="32">
        <v>29729</v>
      </c>
      <c r="BP22" s="32">
        <v>37975</v>
      </c>
      <c r="BQ22" s="32">
        <v>43482</v>
      </c>
      <c r="BR22" s="32">
        <v>39264</v>
      </c>
      <c r="BS22" s="32">
        <v>42155</v>
      </c>
      <c r="BT22" s="32">
        <v>43996</v>
      </c>
      <c r="BU22" s="32">
        <v>46929</v>
      </c>
      <c r="BV22" s="32">
        <v>35885</v>
      </c>
      <c r="BW22" s="32">
        <v>42012</v>
      </c>
      <c r="BX22" s="32">
        <v>35112</v>
      </c>
      <c r="BY22" s="32">
        <v>30631</v>
      </c>
      <c r="BZ22" s="32">
        <v>20810</v>
      </c>
      <c r="CA22" s="32">
        <v>19663</v>
      </c>
      <c r="CB22" s="32">
        <v>21249</v>
      </c>
      <c r="CC22" s="32">
        <v>20852</v>
      </c>
      <c r="CD22" s="32">
        <v>10778</v>
      </c>
      <c r="CE22" s="32">
        <v>8997</v>
      </c>
      <c r="CF22" s="32">
        <v>15274</v>
      </c>
      <c r="CH22" s="94">
        <f t="shared" ca="1" si="43"/>
        <v>100540</v>
      </c>
      <c r="CI22" s="94">
        <f t="shared" ca="1" si="43"/>
        <v>134016</v>
      </c>
      <c r="CJ22" s="94">
        <f t="shared" ca="1" si="43"/>
        <v>135639</v>
      </c>
      <c r="CK22" s="94">
        <f t="shared" ca="1" si="43"/>
        <v>200489</v>
      </c>
      <c r="CL22" s="94">
        <f t="shared" ca="1" si="43"/>
        <v>214020</v>
      </c>
      <c r="CM22" s="94">
        <f t="shared" ca="1" si="43"/>
        <v>222485</v>
      </c>
      <c r="CN22" s="94">
        <f t="shared" ca="1" si="43"/>
        <v>299777</v>
      </c>
      <c r="CO22" s="94">
        <f t="shared" ca="1" si="43"/>
        <v>275278</v>
      </c>
      <c r="CP22" s="94">
        <f t="shared" ca="1" si="43"/>
        <v>287106</v>
      </c>
      <c r="CQ22" s="94">
        <f t="shared" ca="1" si="43"/>
        <v>425004</v>
      </c>
      <c r="CR22" s="94">
        <f t="shared" ca="1" si="44"/>
        <v>404913</v>
      </c>
      <c r="CS22" s="94">
        <f t="shared" ca="1" si="44"/>
        <v>624375</v>
      </c>
      <c r="CT22" s="94">
        <f t="shared" ca="1" si="44"/>
        <v>655862</v>
      </c>
      <c r="CU22" s="94">
        <f t="shared" ca="1" si="44"/>
        <v>630037</v>
      </c>
      <c r="CV22" s="94">
        <f t="shared" ca="1" si="44"/>
        <v>625725</v>
      </c>
      <c r="CW22" s="94">
        <f t="shared" ca="1" si="44"/>
        <v>618125</v>
      </c>
      <c r="CX22" s="94">
        <f t="shared" ca="1" si="44"/>
        <v>650988</v>
      </c>
      <c r="CY22" s="94">
        <f t="shared" ca="1" si="44"/>
        <v>633869</v>
      </c>
      <c r="CZ22" s="94">
        <f t="shared" ca="1" si="44"/>
        <v>608748</v>
      </c>
      <c r="DA22" s="94">
        <f t="shared" ca="1" si="44"/>
        <v>476536</v>
      </c>
      <c r="DB22" s="94">
        <f t="shared" ca="1" si="45"/>
        <v>362988</v>
      </c>
      <c r="DC22" s="94">
        <f t="shared" ca="1" si="45"/>
        <v>435084</v>
      </c>
      <c r="DD22" s="94">
        <f t="shared" ca="1" si="45"/>
        <v>474525</v>
      </c>
      <c r="DE22" s="94">
        <f t="shared" ca="1" si="45"/>
        <v>514425</v>
      </c>
      <c r="DF22" s="94">
        <f t="shared" ca="1" si="45"/>
        <v>233055</v>
      </c>
      <c r="DG22" s="94">
        <f t="shared" ca="1" si="45"/>
        <v>138813</v>
      </c>
      <c r="DH22" s="94">
        <f t="shared" ca="1" si="45"/>
        <v>54589</v>
      </c>
      <c r="DI22" s="94">
        <f t="shared" ca="1" si="45"/>
        <v>26833</v>
      </c>
      <c r="DJ22" s="94">
        <f t="shared" ca="1" si="45"/>
        <v>24269</v>
      </c>
      <c r="DK22" s="94">
        <f t="shared" ca="1" si="45"/>
        <v>22443</v>
      </c>
      <c r="DL22" s="94">
        <f t="shared" ca="1" si="46"/>
        <v>28458</v>
      </c>
      <c r="DM22" s="94">
        <f t="shared" ca="1" si="46"/>
        <v>27341</v>
      </c>
      <c r="DN22" s="94">
        <f t="shared" ca="1" si="46"/>
        <v>22204</v>
      </c>
      <c r="DO22" s="94">
        <f t="shared" ca="1" si="46"/>
        <v>24031</v>
      </c>
      <c r="DP22" s="94">
        <f t="shared" ca="1" si="46"/>
        <v>14882</v>
      </c>
      <c r="DQ22" s="94">
        <f t="shared" ca="1" si="46"/>
        <v>5789</v>
      </c>
      <c r="DR22" s="94">
        <f t="shared" ca="1" si="46"/>
        <v>15660</v>
      </c>
      <c r="DS22" s="94">
        <f t="shared" ca="1" si="46"/>
        <v>16269</v>
      </c>
      <c r="DT22" s="94">
        <f t="shared" ca="1" si="46"/>
        <v>27246</v>
      </c>
      <c r="DU22" s="94">
        <f t="shared" ca="1" si="46"/>
        <v>88919</v>
      </c>
      <c r="DV22" s="94">
        <f t="shared" ca="1" si="47"/>
        <v>113847</v>
      </c>
      <c r="DW22" s="94">
        <f t="shared" ca="1" si="47"/>
        <v>126464</v>
      </c>
      <c r="DX22" s="94">
        <f t="shared" ca="1" si="47"/>
        <v>76868</v>
      </c>
      <c r="DY22" s="94">
        <f t="shared" ca="1" si="47"/>
        <v>29729</v>
      </c>
      <c r="DZ22" s="94">
        <f t="shared" ca="1" si="47"/>
        <v>37975</v>
      </c>
      <c r="EA22" s="94">
        <f t="shared" ca="1" si="47"/>
        <v>39264</v>
      </c>
      <c r="EB22" s="94">
        <f t="shared" ca="1" si="47"/>
        <v>42155</v>
      </c>
      <c r="EC22" s="94">
        <f t="shared" ca="1" si="47"/>
        <v>43996</v>
      </c>
      <c r="ED22" s="94">
        <f t="shared" ca="1" si="47"/>
        <v>35885</v>
      </c>
      <c r="EE22" s="94">
        <f t="shared" ca="1" si="47"/>
        <v>42012</v>
      </c>
      <c r="EF22" s="94">
        <f t="shared" ca="1" si="48"/>
        <v>35112</v>
      </c>
      <c r="EG22" s="94">
        <f t="shared" ca="1" si="48"/>
        <v>20810</v>
      </c>
      <c r="EH22" s="94">
        <f t="shared" ca="1" si="48"/>
        <v>19663</v>
      </c>
      <c r="EI22" s="94">
        <f t="shared" ca="1" si="48"/>
        <v>21249</v>
      </c>
      <c r="EJ22" s="94">
        <f t="shared" ca="1" si="48"/>
        <v>10778</v>
      </c>
      <c r="EK22" s="94">
        <f t="shared" ca="1" si="48"/>
        <v>8997</v>
      </c>
      <c r="EL22" s="94">
        <f t="shared" ca="1" si="48"/>
        <v>15274</v>
      </c>
    </row>
    <row r="23" spans="2:142" x14ac:dyDescent="0.3">
      <c r="B23" s="110"/>
      <c r="C23" s="110"/>
      <c r="D23" s="187" t="s">
        <v>799</v>
      </c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>
        <v>14870</v>
      </c>
      <c r="CH23" s="94"/>
      <c r="CI23" s="94"/>
      <c r="CJ23" s="94"/>
      <c r="CK23" s="94"/>
      <c r="CL23" s="94"/>
      <c r="CM23" s="94"/>
      <c r="CN23" s="94"/>
      <c r="CO23" s="94"/>
      <c r="CP23" s="94"/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4"/>
      <c r="DE23" s="94"/>
      <c r="DF23" s="94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/>
      <c r="DS23" s="94"/>
      <c r="DT23" s="94"/>
      <c r="DU23" s="94"/>
      <c r="DV23" s="94"/>
      <c r="DW23" s="94"/>
      <c r="DX23" s="94"/>
      <c r="DY23" s="94"/>
      <c r="DZ23" s="94"/>
      <c r="EA23" s="94"/>
      <c r="EB23" s="94"/>
      <c r="EC23" s="94"/>
      <c r="ED23" s="94"/>
      <c r="EE23" s="94"/>
      <c r="EF23" s="94"/>
      <c r="EG23" s="94"/>
      <c r="EH23" s="94"/>
      <c r="EI23" s="94"/>
      <c r="EJ23" s="94"/>
      <c r="EK23" s="94"/>
      <c r="EL23" s="94"/>
    </row>
    <row r="24" spans="2:142" x14ac:dyDescent="0.3">
      <c r="B24" s="110" t="s">
        <v>565</v>
      </c>
      <c r="C24" s="110" t="s">
        <v>386</v>
      </c>
      <c r="D24" s="182" t="str">
        <f>IF(Menu!$D$12="PT",'Dados Financeiros'!B24,'Dados Financeiros'!C24)</f>
        <v>Imóveis a comercializar - LP</v>
      </c>
      <c r="E24" s="32">
        <v>0</v>
      </c>
      <c r="F24" s="32">
        <v>0</v>
      </c>
      <c r="G24" s="32">
        <v>0</v>
      </c>
      <c r="H24" s="32">
        <v>237281</v>
      </c>
      <c r="I24" s="32">
        <v>307735</v>
      </c>
      <c r="J24" s="32">
        <v>253268</v>
      </c>
      <c r="K24" s="32">
        <v>256600</v>
      </c>
      <c r="L24" s="32">
        <v>236183</v>
      </c>
      <c r="M24" s="32">
        <v>185242</v>
      </c>
      <c r="N24" s="32">
        <v>237357</v>
      </c>
      <c r="O24" s="32">
        <v>240144</v>
      </c>
      <c r="P24" s="32">
        <v>294562</v>
      </c>
      <c r="Q24" s="32">
        <v>304086</v>
      </c>
      <c r="R24" s="32">
        <v>373837</v>
      </c>
      <c r="S24" s="32">
        <v>415787</v>
      </c>
      <c r="T24" s="32">
        <v>460976</v>
      </c>
      <c r="U24" s="32">
        <v>333829</v>
      </c>
      <c r="V24" s="32">
        <v>312453</v>
      </c>
      <c r="W24" s="32">
        <v>310395</v>
      </c>
      <c r="X24" s="32">
        <v>479867</v>
      </c>
      <c r="Y24" s="32">
        <v>486157</v>
      </c>
      <c r="Z24" s="32">
        <v>460710</v>
      </c>
      <c r="AA24" s="32">
        <v>445550</v>
      </c>
      <c r="AB24" s="32">
        <v>422757</v>
      </c>
      <c r="AC24" s="32">
        <v>425060</v>
      </c>
      <c r="AD24" s="32">
        <v>406711</v>
      </c>
      <c r="AE24" s="32">
        <v>496914</v>
      </c>
      <c r="AF24" s="32">
        <v>488968</v>
      </c>
      <c r="AG24" s="32">
        <v>443697</v>
      </c>
      <c r="AH24" s="32">
        <v>442451</v>
      </c>
      <c r="AI24" s="32">
        <v>457412</v>
      </c>
      <c r="AJ24" s="32">
        <v>425155</v>
      </c>
      <c r="AK24" s="32">
        <v>421181</v>
      </c>
      <c r="AL24" s="32">
        <v>347303</v>
      </c>
      <c r="AM24" s="32">
        <v>530144</v>
      </c>
      <c r="AN24" s="32">
        <v>543149</v>
      </c>
      <c r="AO24" s="32">
        <v>744655</v>
      </c>
      <c r="AP24" s="32">
        <v>625129</v>
      </c>
      <c r="AQ24" s="32">
        <v>684629</v>
      </c>
      <c r="AR24" s="32">
        <v>497125</v>
      </c>
      <c r="AS24" s="32">
        <v>470554</v>
      </c>
      <c r="AT24" s="32">
        <v>464947</v>
      </c>
      <c r="AU24" s="32">
        <v>448926</v>
      </c>
      <c r="AV24" s="32">
        <v>332936</v>
      </c>
      <c r="AW24" s="32">
        <v>344248</v>
      </c>
      <c r="AX24" s="32">
        <v>209236</v>
      </c>
      <c r="AY24" s="32">
        <v>237366</v>
      </c>
      <c r="AZ24" s="32">
        <v>226906</v>
      </c>
      <c r="BA24" s="32">
        <v>216313</v>
      </c>
      <c r="BB24" s="32">
        <v>216346</v>
      </c>
      <c r="BC24" s="32">
        <v>216090</v>
      </c>
      <c r="BD24" s="32">
        <v>208513</v>
      </c>
      <c r="BE24" s="32">
        <v>182489</v>
      </c>
      <c r="BF24" s="32">
        <v>146487</v>
      </c>
      <c r="BG24" s="32">
        <v>148112</v>
      </c>
      <c r="BH24" s="32">
        <v>114798</v>
      </c>
      <c r="BI24" s="32">
        <v>113851</v>
      </c>
      <c r="BJ24" s="32">
        <v>113403</v>
      </c>
      <c r="BK24" s="32">
        <v>115292</v>
      </c>
      <c r="BL24" s="32">
        <v>115132</v>
      </c>
      <c r="BM24" s="32">
        <v>200381</v>
      </c>
      <c r="BN24" s="32">
        <v>91160</v>
      </c>
      <c r="BO24" s="32">
        <v>92096</v>
      </c>
      <c r="BP24" s="32">
        <v>36299</v>
      </c>
      <c r="BQ24" s="32">
        <v>12511</v>
      </c>
      <c r="BR24" s="32">
        <v>41545</v>
      </c>
      <c r="BS24" s="32">
        <v>44921</v>
      </c>
      <c r="BT24" s="32">
        <v>86710</v>
      </c>
      <c r="BU24" s="32">
        <v>46386</v>
      </c>
      <c r="BV24" s="32">
        <v>114584</v>
      </c>
      <c r="BW24" s="32">
        <v>96365</v>
      </c>
      <c r="BX24" s="32">
        <v>88332</v>
      </c>
      <c r="BY24" s="32">
        <v>88619</v>
      </c>
      <c r="BZ24" s="32">
        <v>67409</v>
      </c>
      <c r="CA24" s="32">
        <v>84103</v>
      </c>
      <c r="CB24" s="32">
        <v>86574</v>
      </c>
      <c r="CC24" s="32">
        <v>86725</v>
      </c>
      <c r="CD24" s="32">
        <v>86929</v>
      </c>
      <c r="CE24" s="32">
        <v>51717</v>
      </c>
      <c r="CF24" s="32">
        <v>71585</v>
      </c>
      <c r="CH24" s="94">
        <f t="shared" ref="CH24:CQ29" ca="1" si="49">INDIRECT(ADDRESS(ROW(),MATCH(IF(LEFT(CH$2,2)="1S","2T",IF(LEFT(CH$2,2)="9M","3T","4T"))&amp;RIGHT(CH$2,2),$A$2:$CG$2,0)))</f>
        <v>0</v>
      </c>
      <c r="CI24" s="94">
        <f t="shared" ca="1" si="49"/>
        <v>0</v>
      </c>
      <c r="CJ24" s="94">
        <f t="shared" ca="1" si="49"/>
        <v>237281</v>
      </c>
      <c r="CK24" s="94">
        <f t="shared" ca="1" si="49"/>
        <v>253268</v>
      </c>
      <c r="CL24" s="94">
        <f t="shared" ca="1" si="49"/>
        <v>256600</v>
      </c>
      <c r="CM24" s="94">
        <f t="shared" ca="1" si="49"/>
        <v>236183</v>
      </c>
      <c r="CN24" s="94">
        <f t="shared" ca="1" si="49"/>
        <v>237357</v>
      </c>
      <c r="CO24" s="94">
        <f t="shared" ca="1" si="49"/>
        <v>240144</v>
      </c>
      <c r="CP24" s="94">
        <f t="shared" ca="1" si="49"/>
        <v>294562</v>
      </c>
      <c r="CQ24" s="94">
        <f t="shared" ca="1" si="49"/>
        <v>373837</v>
      </c>
      <c r="CR24" s="94">
        <f t="shared" ref="CR24:DA29" ca="1" si="50">INDIRECT(ADDRESS(ROW(),MATCH(IF(LEFT(CR$2,2)="1S","2T",IF(LEFT(CR$2,2)="9M","3T","4T"))&amp;RIGHT(CR$2,2),$A$2:$CG$2,0)))</f>
        <v>415787</v>
      </c>
      <c r="CS24" s="94">
        <f t="shared" ca="1" si="50"/>
        <v>460976</v>
      </c>
      <c r="CT24" s="94">
        <f t="shared" ca="1" si="50"/>
        <v>312453</v>
      </c>
      <c r="CU24" s="94">
        <f t="shared" ca="1" si="50"/>
        <v>310395</v>
      </c>
      <c r="CV24" s="94">
        <f t="shared" ca="1" si="50"/>
        <v>479867</v>
      </c>
      <c r="CW24" s="94">
        <f t="shared" ca="1" si="50"/>
        <v>422757</v>
      </c>
      <c r="CX24" s="94">
        <f t="shared" ca="1" si="50"/>
        <v>406711</v>
      </c>
      <c r="CY24" s="94">
        <f t="shared" ca="1" si="50"/>
        <v>488968</v>
      </c>
      <c r="CZ24" s="94">
        <f t="shared" ca="1" si="50"/>
        <v>442451</v>
      </c>
      <c r="DA24" s="94">
        <f t="shared" ca="1" si="50"/>
        <v>457412</v>
      </c>
      <c r="DB24" s="94">
        <f t="shared" ref="DB24:DK29" ca="1" si="51">INDIRECT(ADDRESS(ROW(),MATCH(IF(LEFT(DB$2,2)="1S","2T",IF(LEFT(DB$2,2)="9M","3T","4T"))&amp;RIGHT(DB$2,2),$A$2:$CG$2,0)))</f>
        <v>425155</v>
      </c>
      <c r="DC24" s="94">
        <f t="shared" ca="1" si="51"/>
        <v>347303</v>
      </c>
      <c r="DD24" s="94">
        <f t="shared" ca="1" si="51"/>
        <v>530144</v>
      </c>
      <c r="DE24" s="94">
        <f t="shared" ca="1" si="51"/>
        <v>543149</v>
      </c>
      <c r="DF24" s="94">
        <f t="shared" ca="1" si="51"/>
        <v>625129</v>
      </c>
      <c r="DG24" s="94">
        <f t="shared" ca="1" si="51"/>
        <v>684629</v>
      </c>
      <c r="DH24" s="94">
        <f t="shared" ca="1" si="51"/>
        <v>497125</v>
      </c>
      <c r="DI24" s="94">
        <f t="shared" ca="1" si="51"/>
        <v>464947</v>
      </c>
      <c r="DJ24" s="94">
        <f t="shared" ca="1" si="51"/>
        <v>448926</v>
      </c>
      <c r="DK24" s="94">
        <f t="shared" ca="1" si="51"/>
        <v>332936</v>
      </c>
      <c r="DL24" s="94">
        <f t="shared" ref="DL24:DU29" ca="1" si="52">INDIRECT(ADDRESS(ROW(),MATCH(IF(LEFT(DL$2,2)="1S","2T",IF(LEFT(DL$2,2)="9M","3T","4T"))&amp;RIGHT(DL$2,2),$A$2:$CG$2,0)))</f>
        <v>209236</v>
      </c>
      <c r="DM24" s="94">
        <f t="shared" ca="1" si="52"/>
        <v>237366</v>
      </c>
      <c r="DN24" s="94">
        <f t="shared" ca="1" si="52"/>
        <v>226906</v>
      </c>
      <c r="DO24" s="94">
        <f t="shared" ca="1" si="52"/>
        <v>216346</v>
      </c>
      <c r="DP24" s="94">
        <f t="shared" ca="1" si="52"/>
        <v>216090</v>
      </c>
      <c r="DQ24" s="94">
        <f t="shared" ca="1" si="52"/>
        <v>208513</v>
      </c>
      <c r="DR24" s="94">
        <f t="shared" ca="1" si="52"/>
        <v>146487</v>
      </c>
      <c r="DS24" s="94">
        <f t="shared" ca="1" si="52"/>
        <v>148112</v>
      </c>
      <c r="DT24" s="94">
        <f t="shared" ca="1" si="52"/>
        <v>114798</v>
      </c>
      <c r="DU24" s="94">
        <f t="shared" ca="1" si="52"/>
        <v>113403</v>
      </c>
      <c r="DV24" s="94">
        <f t="shared" ref="DV24:EE29" ca="1" si="53">INDIRECT(ADDRESS(ROW(),MATCH(IF(LEFT(DV$2,2)="1S","2T",IF(LEFT(DV$2,2)="9M","3T","4T"))&amp;RIGHT(DV$2,2),$A$2:$CG$2,0)))</f>
        <v>115292</v>
      </c>
      <c r="DW24" s="94">
        <f t="shared" ca="1" si="53"/>
        <v>115132</v>
      </c>
      <c r="DX24" s="94">
        <f t="shared" ca="1" si="53"/>
        <v>91160</v>
      </c>
      <c r="DY24" s="94">
        <f t="shared" ca="1" si="53"/>
        <v>92096</v>
      </c>
      <c r="DZ24" s="94">
        <f t="shared" ca="1" si="53"/>
        <v>36299</v>
      </c>
      <c r="EA24" s="94">
        <f t="shared" ca="1" si="53"/>
        <v>41545</v>
      </c>
      <c r="EB24" s="94">
        <f t="shared" ca="1" si="53"/>
        <v>44921</v>
      </c>
      <c r="EC24" s="94">
        <f t="shared" ca="1" si="53"/>
        <v>86710</v>
      </c>
      <c r="ED24" s="94">
        <f t="shared" ca="1" si="53"/>
        <v>114584</v>
      </c>
      <c r="EE24" s="94">
        <f t="shared" ca="1" si="53"/>
        <v>96365</v>
      </c>
      <c r="EF24" s="94">
        <f t="shared" ref="EF24:EL29" ca="1" si="54">INDIRECT(ADDRESS(ROW(),MATCH(IF(LEFT(EF$2,2)="1S","2T",IF(LEFT(EF$2,2)="9M","3T","4T"))&amp;RIGHT(EF$2,2),$A$2:$CG$2,0)))</f>
        <v>88332</v>
      </c>
      <c r="EG24" s="94">
        <f t="shared" ca="1" si="54"/>
        <v>67409</v>
      </c>
      <c r="EH24" s="94">
        <f t="shared" ca="1" si="54"/>
        <v>84103</v>
      </c>
      <c r="EI24" s="94">
        <f t="shared" ca="1" si="54"/>
        <v>86574</v>
      </c>
      <c r="EJ24" s="94">
        <f t="shared" ca="1" si="54"/>
        <v>86929</v>
      </c>
      <c r="EK24" s="94">
        <f t="shared" ca="1" si="54"/>
        <v>51717</v>
      </c>
      <c r="EL24" s="94">
        <f t="shared" ca="1" si="54"/>
        <v>71585</v>
      </c>
    </row>
    <row r="25" spans="2:142" x14ac:dyDescent="0.3">
      <c r="B25" s="110" t="s">
        <v>566</v>
      </c>
      <c r="C25" s="110" t="s">
        <v>391</v>
      </c>
      <c r="D25" s="182" t="str">
        <f>IF(Menu!$D$12="PT",'Dados Financeiros'!B25,'Dados Financeiros'!C25)</f>
        <v>Partes Relacionadas - AT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73305</v>
      </c>
      <c r="AA25" s="32">
        <v>0</v>
      </c>
      <c r="AB25" s="32">
        <v>82913</v>
      </c>
      <c r="AC25" s="32">
        <v>0</v>
      </c>
      <c r="AD25" s="32">
        <v>66611</v>
      </c>
      <c r="AE25" s="32">
        <v>0</v>
      </c>
      <c r="AF25" s="32">
        <v>58390</v>
      </c>
      <c r="AG25" s="32">
        <v>55195</v>
      </c>
      <c r="AH25" s="32">
        <v>87547</v>
      </c>
      <c r="AI25" s="32">
        <v>90860</v>
      </c>
      <c r="AJ25" s="32">
        <v>65979</v>
      </c>
      <c r="AK25" s="32">
        <v>56282</v>
      </c>
      <c r="AL25" s="32">
        <v>72645</v>
      </c>
      <c r="AM25" s="32">
        <v>73042</v>
      </c>
      <c r="AN25" s="32">
        <v>73740</v>
      </c>
      <c r="AO25" s="32">
        <v>91357</v>
      </c>
      <c r="AP25" s="32">
        <v>22035</v>
      </c>
      <c r="AQ25" s="32">
        <v>13416</v>
      </c>
      <c r="AR25" s="32">
        <v>16165</v>
      </c>
      <c r="AS25" s="32">
        <v>17504</v>
      </c>
      <c r="AT25" s="32">
        <v>18038</v>
      </c>
      <c r="AU25" s="32">
        <v>20472</v>
      </c>
      <c r="AV25" s="32">
        <v>13444</v>
      </c>
      <c r="AW25" s="32">
        <v>17519</v>
      </c>
      <c r="AX25" s="32">
        <v>17083</v>
      </c>
      <c r="AY25" s="32">
        <v>23608</v>
      </c>
      <c r="AZ25" s="32">
        <v>18486</v>
      </c>
      <c r="BA25" s="32">
        <v>10809</v>
      </c>
      <c r="BB25" s="32">
        <v>7481</v>
      </c>
      <c r="BC25" s="32">
        <v>8074</v>
      </c>
      <c r="BD25" s="32">
        <v>8465</v>
      </c>
      <c r="BE25" s="32">
        <v>8494</v>
      </c>
      <c r="BF25" s="32">
        <v>8138</v>
      </c>
      <c r="BG25" s="32">
        <v>8157</v>
      </c>
      <c r="BH25" s="32">
        <v>8967</v>
      </c>
      <c r="BI25" s="32">
        <v>39494</v>
      </c>
      <c r="BJ25" s="32">
        <v>40581</v>
      </c>
      <c r="BK25" s="32">
        <v>65849</v>
      </c>
      <c r="BL25" s="32">
        <v>10732</v>
      </c>
      <c r="BM25" s="32">
        <v>19954</v>
      </c>
      <c r="BN25" s="32">
        <v>11933</v>
      </c>
      <c r="BO25" s="32">
        <v>17284</v>
      </c>
      <c r="BP25" s="32">
        <v>6070</v>
      </c>
      <c r="BQ25" s="32">
        <v>6893</v>
      </c>
      <c r="BR25" s="32">
        <v>7377</v>
      </c>
      <c r="BS25" s="32">
        <v>7289</v>
      </c>
      <c r="BT25" s="32">
        <v>1286</v>
      </c>
      <c r="BU25" s="32">
        <v>4733</v>
      </c>
      <c r="BV25" s="32">
        <v>6678</v>
      </c>
      <c r="BW25" s="32">
        <v>6855</v>
      </c>
      <c r="BX25" s="32">
        <v>37386</v>
      </c>
      <c r="BY25" s="32">
        <v>2786</v>
      </c>
      <c r="BZ25" s="32">
        <v>3032</v>
      </c>
      <c r="CA25" s="32">
        <v>3591</v>
      </c>
      <c r="CB25" s="32">
        <v>3780</v>
      </c>
      <c r="CC25" s="32">
        <v>4563</v>
      </c>
      <c r="CD25" s="32">
        <v>4903</v>
      </c>
      <c r="CE25" s="32">
        <v>5373</v>
      </c>
      <c r="CF25" s="32">
        <v>13492</v>
      </c>
      <c r="CH25" s="94">
        <f t="shared" ca="1" si="49"/>
        <v>0</v>
      </c>
      <c r="CI25" s="94">
        <f t="shared" ca="1" si="49"/>
        <v>0</v>
      </c>
      <c r="CJ25" s="94">
        <f t="shared" ca="1" si="49"/>
        <v>0</v>
      </c>
      <c r="CK25" s="94">
        <f t="shared" ca="1" si="49"/>
        <v>0</v>
      </c>
      <c r="CL25" s="94">
        <f t="shared" ca="1" si="49"/>
        <v>0</v>
      </c>
      <c r="CM25" s="94">
        <f t="shared" ca="1" si="49"/>
        <v>0</v>
      </c>
      <c r="CN25" s="94">
        <f t="shared" ca="1" si="49"/>
        <v>0</v>
      </c>
      <c r="CO25" s="94">
        <f t="shared" ca="1" si="49"/>
        <v>0</v>
      </c>
      <c r="CP25" s="94">
        <f t="shared" ca="1" si="49"/>
        <v>0</v>
      </c>
      <c r="CQ25" s="94">
        <f t="shared" ca="1" si="49"/>
        <v>0</v>
      </c>
      <c r="CR25" s="94">
        <f t="shared" ca="1" si="50"/>
        <v>0</v>
      </c>
      <c r="CS25" s="94">
        <f t="shared" ca="1" si="50"/>
        <v>0</v>
      </c>
      <c r="CT25" s="94">
        <f t="shared" ca="1" si="50"/>
        <v>0</v>
      </c>
      <c r="CU25" s="94">
        <f t="shared" ca="1" si="50"/>
        <v>0</v>
      </c>
      <c r="CV25" s="94">
        <f t="shared" ca="1" si="50"/>
        <v>0</v>
      </c>
      <c r="CW25" s="94">
        <f t="shared" ca="1" si="50"/>
        <v>82913</v>
      </c>
      <c r="CX25" s="94">
        <f t="shared" ca="1" si="50"/>
        <v>66611</v>
      </c>
      <c r="CY25" s="94">
        <f t="shared" ca="1" si="50"/>
        <v>58390</v>
      </c>
      <c r="CZ25" s="94">
        <f t="shared" ca="1" si="50"/>
        <v>87547</v>
      </c>
      <c r="DA25" s="94">
        <f t="shared" ca="1" si="50"/>
        <v>90860</v>
      </c>
      <c r="DB25" s="94">
        <f t="shared" ca="1" si="51"/>
        <v>65979</v>
      </c>
      <c r="DC25" s="94">
        <f t="shared" ca="1" si="51"/>
        <v>72645</v>
      </c>
      <c r="DD25" s="94">
        <f t="shared" ca="1" si="51"/>
        <v>73042</v>
      </c>
      <c r="DE25" s="94">
        <f t="shared" ca="1" si="51"/>
        <v>73740</v>
      </c>
      <c r="DF25" s="94">
        <f t="shared" ca="1" si="51"/>
        <v>22035</v>
      </c>
      <c r="DG25" s="94">
        <f t="shared" ca="1" si="51"/>
        <v>13416</v>
      </c>
      <c r="DH25" s="94">
        <f t="shared" ca="1" si="51"/>
        <v>16165</v>
      </c>
      <c r="DI25" s="94">
        <f t="shared" ca="1" si="51"/>
        <v>18038</v>
      </c>
      <c r="DJ25" s="94">
        <f t="shared" ca="1" si="51"/>
        <v>20472</v>
      </c>
      <c r="DK25" s="94">
        <f t="shared" ca="1" si="51"/>
        <v>13444</v>
      </c>
      <c r="DL25" s="94">
        <f t="shared" ca="1" si="52"/>
        <v>17083</v>
      </c>
      <c r="DM25" s="94">
        <f t="shared" ca="1" si="52"/>
        <v>23608</v>
      </c>
      <c r="DN25" s="94">
        <f t="shared" ca="1" si="52"/>
        <v>18486</v>
      </c>
      <c r="DO25" s="94">
        <f t="shared" ca="1" si="52"/>
        <v>7481</v>
      </c>
      <c r="DP25" s="94">
        <f t="shared" ca="1" si="52"/>
        <v>8074</v>
      </c>
      <c r="DQ25" s="94">
        <f t="shared" ca="1" si="52"/>
        <v>8465</v>
      </c>
      <c r="DR25" s="94">
        <f t="shared" ca="1" si="52"/>
        <v>8138</v>
      </c>
      <c r="DS25" s="94">
        <f t="shared" ca="1" si="52"/>
        <v>8157</v>
      </c>
      <c r="DT25" s="94">
        <f t="shared" ca="1" si="52"/>
        <v>8967</v>
      </c>
      <c r="DU25" s="94">
        <f t="shared" ca="1" si="52"/>
        <v>40581</v>
      </c>
      <c r="DV25" s="94">
        <f t="shared" ca="1" si="53"/>
        <v>65849</v>
      </c>
      <c r="DW25" s="94">
        <f t="shared" ca="1" si="53"/>
        <v>10732</v>
      </c>
      <c r="DX25" s="94">
        <f t="shared" ca="1" si="53"/>
        <v>11933</v>
      </c>
      <c r="DY25" s="94">
        <f t="shared" ca="1" si="53"/>
        <v>17284</v>
      </c>
      <c r="DZ25" s="94">
        <f t="shared" ca="1" si="53"/>
        <v>6070</v>
      </c>
      <c r="EA25" s="94">
        <f t="shared" ca="1" si="53"/>
        <v>7377</v>
      </c>
      <c r="EB25" s="94">
        <f t="shared" ca="1" si="53"/>
        <v>7289</v>
      </c>
      <c r="EC25" s="94">
        <f t="shared" ca="1" si="53"/>
        <v>1286</v>
      </c>
      <c r="ED25" s="94">
        <f t="shared" ca="1" si="53"/>
        <v>6678</v>
      </c>
      <c r="EE25" s="94">
        <f t="shared" ca="1" si="53"/>
        <v>6855</v>
      </c>
      <c r="EF25" s="94">
        <f t="shared" ca="1" si="54"/>
        <v>37386</v>
      </c>
      <c r="EG25" s="94">
        <f t="shared" ca="1" si="54"/>
        <v>3032</v>
      </c>
      <c r="EH25" s="94">
        <f t="shared" ca="1" si="54"/>
        <v>3591</v>
      </c>
      <c r="EI25" s="94">
        <f t="shared" ca="1" si="54"/>
        <v>3780</v>
      </c>
      <c r="EJ25" s="94">
        <f t="shared" ca="1" si="54"/>
        <v>4903</v>
      </c>
      <c r="EK25" s="94">
        <f t="shared" ca="1" si="54"/>
        <v>5373</v>
      </c>
      <c r="EL25" s="94">
        <f t="shared" ca="1" si="54"/>
        <v>13492</v>
      </c>
    </row>
    <row r="26" spans="2:142" x14ac:dyDescent="0.3">
      <c r="B26" s="110" t="s">
        <v>567</v>
      </c>
      <c r="C26" s="110" t="s">
        <v>392</v>
      </c>
      <c r="D26" s="182" t="str">
        <f>IF(Menu!$D$12="PT",'Dados Financeiros'!B26,'Dados Financeiros'!C26)</f>
        <v>Parceiro em Negócios - AT</v>
      </c>
      <c r="E26" s="32">
        <v>2929</v>
      </c>
      <c r="F26" s="32">
        <v>2995</v>
      </c>
      <c r="G26" s="32">
        <v>5724</v>
      </c>
      <c r="H26" s="32">
        <v>10966</v>
      </c>
      <c r="I26" s="32">
        <v>16931</v>
      </c>
      <c r="J26" s="32">
        <v>22979</v>
      </c>
      <c r="K26" s="32">
        <v>33921</v>
      </c>
      <c r="L26" s="32">
        <v>44820</v>
      </c>
      <c r="M26" s="32">
        <v>47712</v>
      </c>
      <c r="N26" s="32">
        <v>48282</v>
      </c>
      <c r="O26" s="32">
        <v>69512</v>
      </c>
      <c r="P26" s="32">
        <v>77169</v>
      </c>
      <c r="Q26" s="32">
        <v>84988</v>
      </c>
      <c r="R26" s="32">
        <v>61890</v>
      </c>
      <c r="S26" s="32">
        <v>69982</v>
      </c>
      <c r="T26" s="32">
        <v>69169</v>
      </c>
      <c r="U26" s="32">
        <v>80943</v>
      </c>
      <c r="V26" s="32">
        <v>79966</v>
      </c>
      <c r="W26" s="32">
        <v>95656</v>
      </c>
      <c r="X26" s="32">
        <v>61821</v>
      </c>
      <c r="Y26" s="32">
        <v>91359</v>
      </c>
      <c r="Z26" s="32">
        <v>55143</v>
      </c>
      <c r="AA26" s="32">
        <v>80801</v>
      </c>
      <c r="AB26" s="32">
        <v>41001</v>
      </c>
      <c r="AC26" s="32">
        <v>86240</v>
      </c>
      <c r="AD26" s="32">
        <v>51749</v>
      </c>
      <c r="AE26" s="32">
        <v>97605</v>
      </c>
      <c r="AF26" s="32">
        <v>76285</v>
      </c>
      <c r="AG26" s="32">
        <v>56810</v>
      </c>
      <c r="AH26" s="32">
        <v>56993</v>
      </c>
      <c r="AI26" s="32">
        <v>72908</v>
      </c>
      <c r="AJ26" s="32">
        <v>60654</v>
      </c>
      <c r="AK26" s="32">
        <v>85105</v>
      </c>
      <c r="AL26" s="32">
        <v>86333</v>
      </c>
      <c r="AM26" s="32">
        <v>84333</v>
      </c>
      <c r="AN26" s="32">
        <v>66194</v>
      </c>
      <c r="AO26" s="32">
        <v>65753</v>
      </c>
      <c r="AP26" s="32">
        <v>79313</v>
      </c>
      <c r="AQ26" s="32">
        <v>71068</v>
      </c>
      <c r="AR26" s="32">
        <v>49288</v>
      </c>
      <c r="AS26" s="32">
        <v>61808</v>
      </c>
      <c r="AT26" s="32">
        <v>84829</v>
      </c>
      <c r="AU26" s="32">
        <v>76784</v>
      </c>
      <c r="AV26" s="32">
        <v>82690</v>
      </c>
      <c r="AW26" s="32">
        <v>94690</v>
      </c>
      <c r="AX26" s="32">
        <v>106885</v>
      </c>
      <c r="AY26" s="32">
        <v>65569</v>
      </c>
      <c r="AZ26" s="32">
        <v>67519</v>
      </c>
      <c r="BA26" s="32">
        <v>69316</v>
      </c>
      <c r="BB26" s="32">
        <v>71042</v>
      </c>
      <c r="BC26" s="32">
        <v>91463</v>
      </c>
      <c r="BD26" s="32">
        <v>104557</v>
      </c>
      <c r="BE26" s="32">
        <v>115642</v>
      </c>
      <c r="BF26" s="32">
        <v>91911</v>
      </c>
      <c r="BG26" s="32">
        <v>93023</v>
      </c>
      <c r="BH26" s="32">
        <v>95888</v>
      </c>
      <c r="BI26" s="32">
        <v>96351</v>
      </c>
      <c r="BJ26" s="32">
        <v>96727</v>
      </c>
      <c r="BK26" s="32">
        <v>93479</v>
      </c>
      <c r="BL26" s="32">
        <v>86498</v>
      </c>
      <c r="BM26" s="32">
        <v>81158</v>
      </c>
      <c r="BN26" s="32">
        <v>74601</v>
      </c>
      <c r="BO26" s="32">
        <v>68684</v>
      </c>
      <c r="BP26" s="32">
        <v>63076</v>
      </c>
      <c r="BQ26" s="32">
        <v>62801</v>
      </c>
      <c r="BR26" s="32">
        <v>67013</v>
      </c>
      <c r="BS26" s="32">
        <v>66582</v>
      </c>
      <c r="BT26" s="32">
        <v>6422</v>
      </c>
      <c r="BU26" s="32">
        <v>7970</v>
      </c>
      <c r="BV26" s="32">
        <v>55013</v>
      </c>
      <c r="BW26" s="32">
        <v>50091</v>
      </c>
      <c r="BX26" s="32">
        <v>55226</v>
      </c>
      <c r="BY26" s="32">
        <v>54457</v>
      </c>
      <c r="BZ26" s="32">
        <v>34864</v>
      </c>
      <c r="CA26" s="32">
        <v>34959</v>
      </c>
      <c r="CB26" s="32">
        <v>34012</v>
      </c>
      <c r="CC26" s="32">
        <v>33258</v>
      </c>
      <c r="CD26" s="32">
        <v>34854</v>
      </c>
      <c r="CE26" s="32">
        <v>32776</v>
      </c>
      <c r="CF26" s="32">
        <v>13723</v>
      </c>
      <c r="CH26" s="94">
        <f t="shared" ca="1" si="49"/>
        <v>2995</v>
      </c>
      <c r="CI26" s="94">
        <f t="shared" ca="1" si="49"/>
        <v>5724</v>
      </c>
      <c r="CJ26" s="94">
        <f t="shared" ca="1" si="49"/>
        <v>10966</v>
      </c>
      <c r="CK26" s="94">
        <f t="shared" ca="1" si="49"/>
        <v>22979</v>
      </c>
      <c r="CL26" s="94">
        <f t="shared" ca="1" si="49"/>
        <v>33921</v>
      </c>
      <c r="CM26" s="94">
        <f t="shared" ca="1" si="49"/>
        <v>44820</v>
      </c>
      <c r="CN26" s="94">
        <f t="shared" ca="1" si="49"/>
        <v>48282</v>
      </c>
      <c r="CO26" s="94">
        <f t="shared" ca="1" si="49"/>
        <v>69512</v>
      </c>
      <c r="CP26" s="94">
        <f t="shared" ca="1" si="49"/>
        <v>77169</v>
      </c>
      <c r="CQ26" s="94">
        <f t="shared" ca="1" si="49"/>
        <v>61890</v>
      </c>
      <c r="CR26" s="94">
        <f t="shared" ca="1" si="50"/>
        <v>69982</v>
      </c>
      <c r="CS26" s="94">
        <f t="shared" ca="1" si="50"/>
        <v>69169</v>
      </c>
      <c r="CT26" s="94">
        <f t="shared" ca="1" si="50"/>
        <v>79966</v>
      </c>
      <c r="CU26" s="94">
        <f t="shared" ca="1" si="50"/>
        <v>95656</v>
      </c>
      <c r="CV26" s="94">
        <f t="shared" ca="1" si="50"/>
        <v>61821</v>
      </c>
      <c r="CW26" s="94">
        <f t="shared" ca="1" si="50"/>
        <v>41001</v>
      </c>
      <c r="CX26" s="94">
        <f t="shared" ca="1" si="50"/>
        <v>51749</v>
      </c>
      <c r="CY26" s="94">
        <f t="shared" ca="1" si="50"/>
        <v>76285</v>
      </c>
      <c r="CZ26" s="94">
        <f t="shared" ca="1" si="50"/>
        <v>56993</v>
      </c>
      <c r="DA26" s="94">
        <f t="shared" ca="1" si="50"/>
        <v>72908</v>
      </c>
      <c r="DB26" s="94">
        <f t="shared" ca="1" si="51"/>
        <v>60654</v>
      </c>
      <c r="DC26" s="94">
        <f t="shared" ca="1" si="51"/>
        <v>86333</v>
      </c>
      <c r="DD26" s="94">
        <f t="shared" ca="1" si="51"/>
        <v>84333</v>
      </c>
      <c r="DE26" s="94">
        <f t="shared" ca="1" si="51"/>
        <v>66194</v>
      </c>
      <c r="DF26" s="94">
        <f t="shared" ca="1" si="51"/>
        <v>79313</v>
      </c>
      <c r="DG26" s="94">
        <f t="shared" ca="1" si="51"/>
        <v>71068</v>
      </c>
      <c r="DH26" s="94">
        <f t="shared" ca="1" si="51"/>
        <v>49288</v>
      </c>
      <c r="DI26" s="94">
        <f t="shared" ca="1" si="51"/>
        <v>84829</v>
      </c>
      <c r="DJ26" s="94">
        <f t="shared" ca="1" si="51"/>
        <v>76784</v>
      </c>
      <c r="DK26" s="94">
        <f t="shared" ca="1" si="51"/>
        <v>82690</v>
      </c>
      <c r="DL26" s="94">
        <f t="shared" ca="1" si="52"/>
        <v>106885</v>
      </c>
      <c r="DM26" s="94">
        <f t="shared" ca="1" si="52"/>
        <v>65569</v>
      </c>
      <c r="DN26" s="94">
        <f t="shared" ca="1" si="52"/>
        <v>67519</v>
      </c>
      <c r="DO26" s="94">
        <f t="shared" ca="1" si="52"/>
        <v>71042</v>
      </c>
      <c r="DP26" s="94">
        <f t="shared" ca="1" si="52"/>
        <v>91463</v>
      </c>
      <c r="DQ26" s="94">
        <f t="shared" ca="1" si="52"/>
        <v>104557</v>
      </c>
      <c r="DR26" s="94">
        <f t="shared" ca="1" si="52"/>
        <v>91911</v>
      </c>
      <c r="DS26" s="94">
        <f t="shared" ca="1" si="52"/>
        <v>93023</v>
      </c>
      <c r="DT26" s="94">
        <f t="shared" ca="1" si="52"/>
        <v>95888</v>
      </c>
      <c r="DU26" s="94">
        <f t="shared" ca="1" si="52"/>
        <v>96727</v>
      </c>
      <c r="DV26" s="94">
        <f t="shared" ca="1" si="53"/>
        <v>93479</v>
      </c>
      <c r="DW26" s="94">
        <f t="shared" ca="1" si="53"/>
        <v>86498</v>
      </c>
      <c r="DX26" s="94">
        <f t="shared" ca="1" si="53"/>
        <v>74601</v>
      </c>
      <c r="DY26" s="94">
        <f t="shared" ca="1" si="53"/>
        <v>68684</v>
      </c>
      <c r="DZ26" s="94">
        <f t="shared" ca="1" si="53"/>
        <v>63076</v>
      </c>
      <c r="EA26" s="94">
        <f t="shared" ca="1" si="53"/>
        <v>67013</v>
      </c>
      <c r="EB26" s="94">
        <f t="shared" ca="1" si="53"/>
        <v>66582</v>
      </c>
      <c r="EC26" s="94">
        <f t="shared" ca="1" si="53"/>
        <v>6422</v>
      </c>
      <c r="ED26" s="94">
        <f t="shared" ca="1" si="53"/>
        <v>55013</v>
      </c>
      <c r="EE26" s="94">
        <f t="shared" ca="1" si="53"/>
        <v>50091</v>
      </c>
      <c r="EF26" s="94">
        <f t="shared" ca="1" si="54"/>
        <v>55226</v>
      </c>
      <c r="EG26" s="94">
        <f t="shared" ca="1" si="54"/>
        <v>34864</v>
      </c>
      <c r="EH26" s="94">
        <f t="shared" ca="1" si="54"/>
        <v>34959</v>
      </c>
      <c r="EI26" s="94">
        <f t="shared" ca="1" si="54"/>
        <v>34012</v>
      </c>
      <c r="EJ26" s="94">
        <f t="shared" ca="1" si="54"/>
        <v>34854</v>
      </c>
      <c r="EK26" s="94">
        <f t="shared" ca="1" si="54"/>
        <v>32776</v>
      </c>
      <c r="EL26" s="94">
        <f t="shared" ca="1" si="54"/>
        <v>13723</v>
      </c>
    </row>
    <row r="27" spans="2:142" x14ac:dyDescent="0.3">
      <c r="B27" s="110" t="s">
        <v>85</v>
      </c>
      <c r="C27" s="110" t="s">
        <v>393</v>
      </c>
      <c r="D27" s="182" t="str">
        <f>IF(Menu!$D$12="PT",'Dados Financeiros'!B27,'Dados Financeiros'!C27)</f>
        <v>Participações em consórcios</v>
      </c>
      <c r="E27" s="32">
        <v>12166</v>
      </c>
      <c r="F27" s="32">
        <v>12572</v>
      </c>
      <c r="G27" s="32">
        <v>12775</v>
      </c>
      <c r="H27" s="32">
        <v>12515</v>
      </c>
      <c r="I27" s="32">
        <v>10976</v>
      </c>
      <c r="J27" s="32">
        <v>10956</v>
      </c>
      <c r="K27" s="32">
        <v>11691</v>
      </c>
      <c r="L27" s="32">
        <v>14263</v>
      </c>
      <c r="M27" s="32">
        <v>14716</v>
      </c>
      <c r="N27" s="32">
        <v>15909</v>
      </c>
      <c r="O27" s="32">
        <v>16902</v>
      </c>
      <c r="P27" s="32">
        <v>21832</v>
      </c>
      <c r="Q27" s="32">
        <v>20816</v>
      </c>
      <c r="R27" s="32">
        <v>16119</v>
      </c>
      <c r="S27" s="32">
        <v>16894</v>
      </c>
      <c r="T27" s="32">
        <v>11527</v>
      </c>
      <c r="U27" s="32">
        <v>11159</v>
      </c>
      <c r="V27" s="32">
        <v>11045</v>
      </c>
      <c r="W27" s="32">
        <v>12759</v>
      </c>
      <c r="X27" s="32">
        <v>13047</v>
      </c>
      <c r="Y27" s="32">
        <v>10607</v>
      </c>
      <c r="Z27" s="32">
        <v>11347</v>
      </c>
      <c r="AA27" s="32">
        <v>10627</v>
      </c>
      <c r="AB27" s="32">
        <v>11170</v>
      </c>
      <c r="AC27" s="32">
        <v>10074</v>
      </c>
      <c r="AD27" s="32">
        <v>11435</v>
      </c>
      <c r="AE27" s="32">
        <v>17841</v>
      </c>
      <c r="AF27" s="32">
        <v>16885</v>
      </c>
      <c r="AG27" s="32">
        <v>20789</v>
      </c>
      <c r="AH27" s="32">
        <v>18199</v>
      </c>
      <c r="AI27" s="32">
        <v>18501</v>
      </c>
      <c r="AJ27" s="32">
        <v>19247</v>
      </c>
      <c r="AK27" s="32">
        <v>19482</v>
      </c>
      <c r="AL27" s="32">
        <v>20214</v>
      </c>
      <c r="AM27" s="32">
        <v>20504</v>
      </c>
      <c r="AN27" s="32">
        <v>22129</v>
      </c>
      <c r="AO27" s="32">
        <v>19053</v>
      </c>
      <c r="AP27" s="32">
        <v>16983</v>
      </c>
      <c r="AQ27" s="32">
        <v>19276</v>
      </c>
      <c r="AR27" s="32">
        <v>18363</v>
      </c>
      <c r="AS27" s="32">
        <v>19011</v>
      </c>
      <c r="AT27" s="32">
        <v>19236</v>
      </c>
      <c r="AU27" s="32">
        <v>16569</v>
      </c>
      <c r="AV27" s="32">
        <v>16934</v>
      </c>
      <c r="AW27" s="32">
        <v>17380</v>
      </c>
      <c r="AX27" s="32">
        <v>17489</v>
      </c>
      <c r="AY27" s="32">
        <v>19724</v>
      </c>
      <c r="AZ27" s="32">
        <v>45</v>
      </c>
      <c r="BA27" s="32">
        <v>41</v>
      </c>
      <c r="BB27" s="32">
        <v>72</v>
      </c>
      <c r="BC27" s="32">
        <v>72</v>
      </c>
      <c r="BD27" s="32">
        <v>72</v>
      </c>
      <c r="BE27" s="32">
        <v>31</v>
      </c>
      <c r="BF27" s="32">
        <v>32</v>
      </c>
      <c r="BG27" s="32">
        <v>32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54994</v>
      </c>
      <c r="BU27" s="32">
        <v>56085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H27" s="94">
        <f t="shared" ca="1" si="49"/>
        <v>12572</v>
      </c>
      <c r="CI27" s="94">
        <f t="shared" ca="1" si="49"/>
        <v>12775</v>
      </c>
      <c r="CJ27" s="94">
        <f t="shared" ca="1" si="49"/>
        <v>12515</v>
      </c>
      <c r="CK27" s="94">
        <f t="shared" ca="1" si="49"/>
        <v>10956</v>
      </c>
      <c r="CL27" s="94">
        <f t="shared" ca="1" si="49"/>
        <v>11691</v>
      </c>
      <c r="CM27" s="94">
        <f t="shared" ca="1" si="49"/>
        <v>14263</v>
      </c>
      <c r="CN27" s="94">
        <f t="shared" ca="1" si="49"/>
        <v>15909</v>
      </c>
      <c r="CO27" s="94">
        <f t="shared" ca="1" si="49"/>
        <v>16902</v>
      </c>
      <c r="CP27" s="94">
        <f t="shared" ca="1" si="49"/>
        <v>21832</v>
      </c>
      <c r="CQ27" s="94">
        <f t="shared" ca="1" si="49"/>
        <v>16119</v>
      </c>
      <c r="CR27" s="94">
        <f t="shared" ca="1" si="50"/>
        <v>16894</v>
      </c>
      <c r="CS27" s="94">
        <f t="shared" ca="1" si="50"/>
        <v>11527</v>
      </c>
      <c r="CT27" s="94">
        <f t="shared" ca="1" si="50"/>
        <v>11045</v>
      </c>
      <c r="CU27" s="94">
        <f t="shared" ca="1" si="50"/>
        <v>12759</v>
      </c>
      <c r="CV27" s="94">
        <f t="shared" ca="1" si="50"/>
        <v>13047</v>
      </c>
      <c r="CW27" s="94">
        <f t="shared" ca="1" si="50"/>
        <v>11170</v>
      </c>
      <c r="CX27" s="94">
        <f t="shared" ca="1" si="50"/>
        <v>11435</v>
      </c>
      <c r="CY27" s="94">
        <f t="shared" ca="1" si="50"/>
        <v>16885</v>
      </c>
      <c r="CZ27" s="94">
        <f t="shared" ca="1" si="50"/>
        <v>18199</v>
      </c>
      <c r="DA27" s="94">
        <f t="shared" ca="1" si="50"/>
        <v>18501</v>
      </c>
      <c r="DB27" s="94">
        <f t="shared" ca="1" si="51"/>
        <v>19247</v>
      </c>
      <c r="DC27" s="94">
        <f t="shared" ca="1" si="51"/>
        <v>20214</v>
      </c>
      <c r="DD27" s="94">
        <f t="shared" ca="1" si="51"/>
        <v>20504</v>
      </c>
      <c r="DE27" s="94">
        <f t="shared" ca="1" si="51"/>
        <v>22129</v>
      </c>
      <c r="DF27" s="94">
        <f t="shared" ca="1" si="51"/>
        <v>16983</v>
      </c>
      <c r="DG27" s="94">
        <f t="shared" ca="1" si="51"/>
        <v>19276</v>
      </c>
      <c r="DH27" s="94">
        <f t="shared" ca="1" si="51"/>
        <v>18363</v>
      </c>
      <c r="DI27" s="94">
        <f t="shared" ca="1" si="51"/>
        <v>19236</v>
      </c>
      <c r="DJ27" s="94">
        <f t="shared" ca="1" si="51"/>
        <v>16569</v>
      </c>
      <c r="DK27" s="94">
        <f t="shared" ca="1" si="51"/>
        <v>16934</v>
      </c>
      <c r="DL27" s="94">
        <f t="shared" ca="1" si="52"/>
        <v>17489</v>
      </c>
      <c r="DM27" s="94">
        <f t="shared" ca="1" si="52"/>
        <v>19724</v>
      </c>
      <c r="DN27" s="94">
        <f t="shared" ca="1" si="52"/>
        <v>45</v>
      </c>
      <c r="DO27" s="94">
        <f t="shared" ca="1" si="52"/>
        <v>72</v>
      </c>
      <c r="DP27" s="94">
        <f t="shared" ca="1" si="52"/>
        <v>72</v>
      </c>
      <c r="DQ27" s="94">
        <f t="shared" ca="1" si="52"/>
        <v>72</v>
      </c>
      <c r="DR27" s="94">
        <f t="shared" ca="1" si="52"/>
        <v>32</v>
      </c>
      <c r="DS27" s="94">
        <f t="shared" ca="1" si="52"/>
        <v>32</v>
      </c>
      <c r="DT27" s="94">
        <f t="shared" ca="1" si="52"/>
        <v>0</v>
      </c>
      <c r="DU27" s="94">
        <f t="shared" ca="1" si="52"/>
        <v>0</v>
      </c>
      <c r="DV27" s="94">
        <f t="shared" ca="1" si="53"/>
        <v>0</v>
      </c>
      <c r="DW27" s="94">
        <f t="shared" ca="1" si="53"/>
        <v>0</v>
      </c>
      <c r="DX27" s="94">
        <f t="shared" ca="1" si="53"/>
        <v>0</v>
      </c>
      <c r="DY27" s="94">
        <f t="shared" ca="1" si="53"/>
        <v>0</v>
      </c>
      <c r="DZ27" s="94">
        <f t="shared" ca="1" si="53"/>
        <v>0</v>
      </c>
      <c r="EA27" s="94">
        <f t="shared" ca="1" si="53"/>
        <v>0</v>
      </c>
      <c r="EB27" s="94">
        <f t="shared" ca="1" si="53"/>
        <v>0</v>
      </c>
      <c r="EC27" s="94">
        <f t="shared" ca="1" si="53"/>
        <v>54994</v>
      </c>
      <c r="ED27" s="94">
        <f t="shared" ca="1" si="53"/>
        <v>0</v>
      </c>
      <c r="EE27" s="94">
        <f t="shared" ca="1" si="53"/>
        <v>0</v>
      </c>
      <c r="EF27" s="94">
        <f t="shared" ca="1" si="54"/>
        <v>0</v>
      </c>
      <c r="EG27" s="94">
        <f t="shared" ca="1" si="54"/>
        <v>0</v>
      </c>
      <c r="EH27" s="94">
        <f t="shared" ca="1" si="54"/>
        <v>0</v>
      </c>
      <c r="EI27" s="94">
        <f t="shared" ca="1" si="54"/>
        <v>0</v>
      </c>
      <c r="EJ27" s="94">
        <f t="shared" ca="1" si="54"/>
        <v>0</v>
      </c>
      <c r="EK27" s="94">
        <f t="shared" ca="1" si="54"/>
        <v>0</v>
      </c>
      <c r="EL27" s="94">
        <f t="shared" ca="1" si="54"/>
        <v>0</v>
      </c>
    </row>
    <row r="28" spans="2:142" x14ac:dyDescent="0.3">
      <c r="B28" s="110" t="s">
        <v>660</v>
      </c>
      <c r="C28" s="110" t="s">
        <v>388</v>
      </c>
      <c r="D28" s="182" t="str">
        <f>IF(Menu!$D$12="PT",'Dados Financeiros'!B28,'Dados Financeiros'!C28)</f>
        <v>Impostos a recuperar - LP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10217</v>
      </c>
      <c r="BN28" s="32">
        <v>10892</v>
      </c>
      <c r="BO28" s="32">
        <v>10062</v>
      </c>
      <c r="BP28" s="32">
        <v>9895</v>
      </c>
      <c r="BQ28" s="32">
        <v>8828</v>
      </c>
      <c r="BR28" s="32">
        <v>6193</v>
      </c>
      <c r="BS28" s="32">
        <v>1788</v>
      </c>
      <c r="BT28" s="32">
        <v>0</v>
      </c>
      <c r="BU28" s="32">
        <v>0</v>
      </c>
      <c r="BV28" s="32">
        <v>7292</v>
      </c>
      <c r="BW28" s="32">
        <v>7292</v>
      </c>
      <c r="BX28" s="32">
        <v>7292</v>
      </c>
      <c r="BY28" s="32">
        <v>7853</v>
      </c>
      <c r="BZ28" s="32">
        <v>7853</v>
      </c>
      <c r="CA28" s="32">
        <v>7853</v>
      </c>
      <c r="CB28" s="32">
        <v>3284</v>
      </c>
      <c r="CC28" s="32">
        <v>4409</v>
      </c>
      <c r="CD28" s="32">
        <v>5203</v>
      </c>
      <c r="CE28" s="32">
        <v>4990</v>
      </c>
      <c r="CF28" s="32">
        <v>4527</v>
      </c>
      <c r="CH28" s="94">
        <f t="shared" ca="1" si="49"/>
        <v>0</v>
      </c>
      <c r="CI28" s="94">
        <f t="shared" ca="1" si="49"/>
        <v>0</v>
      </c>
      <c r="CJ28" s="94">
        <f t="shared" ca="1" si="49"/>
        <v>0</v>
      </c>
      <c r="CK28" s="94">
        <f t="shared" ca="1" si="49"/>
        <v>0</v>
      </c>
      <c r="CL28" s="94">
        <f t="shared" ca="1" si="49"/>
        <v>0</v>
      </c>
      <c r="CM28" s="94">
        <f t="shared" ca="1" si="49"/>
        <v>0</v>
      </c>
      <c r="CN28" s="94">
        <f t="shared" ca="1" si="49"/>
        <v>0</v>
      </c>
      <c r="CO28" s="94">
        <f t="shared" ca="1" si="49"/>
        <v>0</v>
      </c>
      <c r="CP28" s="94">
        <f t="shared" ca="1" si="49"/>
        <v>0</v>
      </c>
      <c r="CQ28" s="94">
        <f t="shared" ca="1" si="49"/>
        <v>0</v>
      </c>
      <c r="CR28" s="94">
        <f t="shared" ca="1" si="50"/>
        <v>0</v>
      </c>
      <c r="CS28" s="94">
        <f t="shared" ca="1" si="50"/>
        <v>0</v>
      </c>
      <c r="CT28" s="94">
        <f t="shared" ca="1" si="50"/>
        <v>0</v>
      </c>
      <c r="CU28" s="94">
        <f t="shared" ca="1" si="50"/>
        <v>0</v>
      </c>
      <c r="CV28" s="94">
        <f t="shared" ca="1" si="50"/>
        <v>0</v>
      </c>
      <c r="CW28" s="94">
        <f t="shared" ca="1" si="50"/>
        <v>0</v>
      </c>
      <c r="CX28" s="94">
        <f t="shared" ca="1" si="50"/>
        <v>0</v>
      </c>
      <c r="CY28" s="94">
        <f t="shared" ca="1" si="50"/>
        <v>0</v>
      </c>
      <c r="CZ28" s="94">
        <f t="shared" ca="1" si="50"/>
        <v>0</v>
      </c>
      <c r="DA28" s="94">
        <f t="shared" ca="1" si="50"/>
        <v>0</v>
      </c>
      <c r="DB28" s="94">
        <f t="shared" ca="1" si="51"/>
        <v>0</v>
      </c>
      <c r="DC28" s="94">
        <f t="shared" ca="1" si="51"/>
        <v>0</v>
      </c>
      <c r="DD28" s="94">
        <f t="shared" ca="1" si="51"/>
        <v>0</v>
      </c>
      <c r="DE28" s="94">
        <f t="shared" ca="1" si="51"/>
        <v>0</v>
      </c>
      <c r="DF28" s="94">
        <f t="shared" ca="1" si="51"/>
        <v>0</v>
      </c>
      <c r="DG28" s="94">
        <f t="shared" ca="1" si="51"/>
        <v>0</v>
      </c>
      <c r="DH28" s="94">
        <f t="shared" ca="1" si="51"/>
        <v>0</v>
      </c>
      <c r="DI28" s="94">
        <f t="shared" ca="1" si="51"/>
        <v>0</v>
      </c>
      <c r="DJ28" s="94">
        <f t="shared" ca="1" si="51"/>
        <v>0</v>
      </c>
      <c r="DK28" s="94">
        <f t="shared" ca="1" si="51"/>
        <v>0</v>
      </c>
      <c r="DL28" s="94">
        <f t="shared" ca="1" si="52"/>
        <v>0</v>
      </c>
      <c r="DM28" s="94">
        <f t="shared" ca="1" si="52"/>
        <v>0</v>
      </c>
      <c r="DN28" s="94">
        <f t="shared" ca="1" si="52"/>
        <v>0</v>
      </c>
      <c r="DO28" s="94">
        <f t="shared" ca="1" si="52"/>
        <v>0</v>
      </c>
      <c r="DP28" s="94">
        <f t="shared" ca="1" si="52"/>
        <v>0</v>
      </c>
      <c r="DQ28" s="94">
        <f t="shared" ca="1" si="52"/>
        <v>0</v>
      </c>
      <c r="DR28" s="94">
        <f t="shared" ca="1" si="52"/>
        <v>0</v>
      </c>
      <c r="DS28" s="94">
        <f t="shared" ca="1" si="52"/>
        <v>0</v>
      </c>
      <c r="DT28" s="94">
        <f t="shared" ca="1" si="52"/>
        <v>0</v>
      </c>
      <c r="DU28" s="94">
        <f t="shared" ca="1" si="52"/>
        <v>0</v>
      </c>
      <c r="DV28" s="94">
        <f t="shared" ca="1" si="53"/>
        <v>0</v>
      </c>
      <c r="DW28" s="94">
        <f t="shared" ca="1" si="53"/>
        <v>0</v>
      </c>
      <c r="DX28" s="94">
        <f t="shared" ca="1" si="53"/>
        <v>10892</v>
      </c>
      <c r="DY28" s="94">
        <f t="shared" ca="1" si="53"/>
        <v>10062</v>
      </c>
      <c r="DZ28" s="94">
        <f t="shared" ca="1" si="53"/>
        <v>9895</v>
      </c>
      <c r="EA28" s="94">
        <f t="shared" ca="1" si="53"/>
        <v>6193</v>
      </c>
      <c r="EB28" s="94">
        <f t="shared" ca="1" si="53"/>
        <v>1788</v>
      </c>
      <c r="EC28" s="94">
        <f t="shared" ca="1" si="53"/>
        <v>0</v>
      </c>
      <c r="ED28" s="94">
        <f t="shared" ca="1" si="53"/>
        <v>7292</v>
      </c>
      <c r="EE28" s="94">
        <f t="shared" ca="1" si="53"/>
        <v>7292</v>
      </c>
      <c r="EF28" s="94">
        <f t="shared" ca="1" si="54"/>
        <v>7292</v>
      </c>
      <c r="EG28" s="94">
        <f t="shared" ca="1" si="54"/>
        <v>7853</v>
      </c>
      <c r="EH28" s="94">
        <f t="shared" ca="1" si="54"/>
        <v>7853</v>
      </c>
      <c r="EI28" s="94">
        <f t="shared" ca="1" si="54"/>
        <v>3284</v>
      </c>
      <c r="EJ28" s="94">
        <f t="shared" ca="1" si="54"/>
        <v>5203</v>
      </c>
      <c r="EK28" s="94">
        <f t="shared" ca="1" si="54"/>
        <v>4990</v>
      </c>
      <c r="EL28" s="94">
        <f t="shared" ca="1" si="54"/>
        <v>4527</v>
      </c>
    </row>
    <row r="29" spans="2:142" ht="14.4" thickBot="1" x14ac:dyDescent="0.35">
      <c r="B29" s="112" t="s">
        <v>568</v>
      </c>
      <c r="C29" s="112" t="s">
        <v>389</v>
      </c>
      <c r="D29" s="184" t="str">
        <f>IF(Menu!$D$12="PT",'Dados Financeiros'!B29,'Dados Financeiros'!C29)</f>
        <v>Outras contas a receber - LP</v>
      </c>
      <c r="E29" s="36">
        <v>5914</v>
      </c>
      <c r="F29" s="36">
        <v>6954</v>
      </c>
      <c r="G29" s="36">
        <v>11865</v>
      </c>
      <c r="H29" s="36">
        <v>12347</v>
      </c>
      <c r="I29" s="36">
        <v>7930</v>
      </c>
      <c r="J29" s="36">
        <v>9318</v>
      </c>
      <c r="K29" s="36">
        <v>9019</v>
      </c>
      <c r="L29" s="36">
        <v>11106</v>
      </c>
      <c r="M29" s="36">
        <v>10093</v>
      </c>
      <c r="N29" s="36">
        <v>11434</v>
      </c>
      <c r="O29" s="36">
        <v>11091</v>
      </c>
      <c r="P29" s="36">
        <v>6626</v>
      </c>
      <c r="Q29" s="36">
        <v>6700</v>
      </c>
      <c r="R29" s="36">
        <v>8518</v>
      </c>
      <c r="S29" s="36">
        <v>8960</v>
      </c>
      <c r="T29" s="36">
        <v>10316</v>
      </c>
      <c r="U29" s="36">
        <v>10156</v>
      </c>
      <c r="V29" s="36">
        <v>10728</v>
      </c>
      <c r="W29" s="36">
        <v>11479</v>
      </c>
      <c r="X29" s="36">
        <v>11874</v>
      </c>
      <c r="Y29" s="36">
        <v>11834</v>
      </c>
      <c r="Z29" s="36">
        <v>11723</v>
      </c>
      <c r="AA29" s="36">
        <v>11258</v>
      </c>
      <c r="AB29" s="36">
        <v>11186</v>
      </c>
      <c r="AC29" s="36">
        <v>13335</v>
      </c>
      <c r="AD29" s="36">
        <v>12565</v>
      </c>
      <c r="AE29" s="36">
        <v>10962</v>
      </c>
      <c r="AF29" s="36">
        <v>10877</v>
      </c>
      <c r="AG29" s="36">
        <v>10902</v>
      </c>
      <c r="AH29" s="36">
        <v>11568</v>
      </c>
      <c r="AI29" s="36">
        <v>11745</v>
      </c>
      <c r="AJ29" s="36">
        <v>18304</v>
      </c>
      <c r="AK29" s="36">
        <v>19246</v>
      </c>
      <c r="AL29" s="36">
        <v>19348</v>
      </c>
      <c r="AM29" s="36">
        <v>19888</v>
      </c>
      <c r="AN29" s="36">
        <v>19889</v>
      </c>
      <c r="AO29" s="36">
        <v>22011</v>
      </c>
      <c r="AP29" s="36">
        <v>22966</v>
      </c>
      <c r="AQ29" s="36">
        <v>26638</v>
      </c>
      <c r="AR29" s="36">
        <v>17435</v>
      </c>
      <c r="AS29" s="36">
        <v>17208</v>
      </c>
      <c r="AT29" s="36">
        <v>21909</v>
      </c>
      <c r="AU29" s="36">
        <v>22567</v>
      </c>
      <c r="AV29" s="36">
        <v>21780</v>
      </c>
      <c r="AW29" s="36">
        <v>22726</v>
      </c>
      <c r="AX29" s="36">
        <v>23245</v>
      </c>
      <c r="AY29" s="36">
        <v>23737</v>
      </c>
      <c r="AZ29" s="36">
        <v>23101</v>
      </c>
      <c r="BA29" s="36">
        <v>32161</v>
      </c>
      <c r="BB29" s="36">
        <v>26790</v>
      </c>
      <c r="BC29" s="36">
        <v>27903</v>
      </c>
      <c r="BD29" s="36">
        <v>35283</v>
      </c>
      <c r="BE29" s="36">
        <v>32899</v>
      </c>
      <c r="BF29" s="36">
        <v>33354</v>
      </c>
      <c r="BG29" s="36">
        <v>33053</v>
      </c>
      <c r="BH29" s="36">
        <v>30491</v>
      </c>
      <c r="BI29" s="36">
        <v>30535</v>
      </c>
      <c r="BJ29" s="36">
        <v>31047</v>
      </c>
      <c r="BK29" s="36">
        <v>32018</v>
      </c>
      <c r="BL29" s="36">
        <v>32240</v>
      </c>
      <c r="BM29" s="36">
        <v>18059</v>
      </c>
      <c r="BN29" s="36">
        <v>19627</v>
      </c>
      <c r="BO29" s="36">
        <v>19335</v>
      </c>
      <c r="BP29" s="36">
        <v>17889</v>
      </c>
      <c r="BQ29" s="36">
        <f>24637-BQ28</f>
        <v>15809</v>
      </c>
      <c r="BR29" s="36">
        <v>15508</v>
      </c>
      <c r="BS29" s="36">
        <v>22224</v>
      </c>
      <c r="BT29" s="36">
        <v>21753</v>
      </c>
      <c r="BU29" s="36">
        <v>21968</v>
      </c>
      <c r="BV29" s="36">
        <v>28017</v>
      </c>
      <c r="BW29" s="36">
        <v>55103</v>
      </c>
      <c r="BX29" s="32">
        <v>52556</v>
      </c>
      <c r="BY29" s="32">
        <v>59492</v>
      </c>
      <c r="BZ29" s="32">
        <v>90947</v>
      </c>
      <c r="CA29" s="32">
        <v>83271</v>
      </c>
      <c r="CB29" s="32">
        <v>82931</v>
      </c>
      <c r="CC29" s="32">
        <v>89149</v>
      </c>
      <c r="CD29" s="32">
        <v>89282</v>
      </c>
      <c r="CE29" s="32">
        <v>93975</v>
      </c>
      <c r="CF29" s="32">
        <v>95676</v>
      </c>
      <c r="CH29" s="94">
        <f t="shared" ca="1" si="49"/>
        <v>6954</v>
      </c>
      <c r="CI29" s="94">
        <f t="shared" ca="1" si="49"/>
        <v>11865</v>
      </c>
      <c r="CJ29" s="94">
        <f t="shared" ca="1" si="49"/>
        <v>12347</v>
      </c>
      <c r="CK29" s="94">
        <f t="shared" ca="1" si="49"/>
        <v>9318</v>
      </c>
      <c r="CL29" s="94">
        <f t="shared" ca="1" si="49"/>
        <v>9019</v>
      </c>
      <c r="CM29" s="94">
        <f t="shared" ca="1" si="49"/>
        <v>11106</v>
      </c>
      <c r="CN29" s="94">
        <f t="shared" ca="1" si="49"/>
        <v>11434</v>
      </c>
      <c r="CO29" s="94">
        <f t="shared" ca="1" si="49"/>
        <v>11091</v>
      </c>
      <c r="CP29" s="94">
        <f t="shared" ca="1" si="49"/>
        <v>6626</v>
      </c>
      <c r="CQ29" s="94">
        <f t="shared" ca="1" si="49"/>
        <v>8518</v>
      </c>
      <c r="CR29" s="94">
        <f t="shared" ca="1" si="50"/>
        <v>8960</v>
      </c>
      <c r="CS29" s="94">
        <f t="shared" ca="1" si="50"/>
        <v>10316</v>
      </c>
      <c r="CT29" s="94">
        <f t="shared" ca="1" si="50"/>
        <v>10728</v>
      </c>
      <c r="CU29" s="94">
        <f t="shared" ca="1" si="50"/>
        <v>11479</v>
      </c>
      <c r="CV29" s="94">
        <f t="shared" ca="1" si="50"/>
        <v>11874</v>
      </c>
      <c r="CW29" s="94">
        <f t="shared" ca="1" si="50"/>
        <v>11186</v>
      </c>
      <c r="CX29" s="94">
        <f t="shared" ca="1" si="50"/>
        <v>12565</v>
      </c>
      <c r="CY29" s="94">
        <f t="shared" ca="1" si="50"/>
        <v>10877</v>
      </c>
      <c r="CZ29" s="94">
        <f t="shared" ca="1" si="50"/>
        <v>11568</v>
      </c>
      <c r="DA29" s="94">
        <f t="shared" ca="1" si="50"/>
        <v>11745</v>
      </c>
      <c r="DB29" s="94">
        <f t="shared" ca="1" si="51"/>
        <v>18304</v>
      </c>
      <c r="DC29" s="94">
        <f t="shared" ca="1" si="51"/>
        <v>19348</v>
      </c>
      <c r="DD29" s="94">
        <f t="shared" ca="1" si="51"/>
        <v>19888</v>
      </c>
      <c r="DE29" s="94">
        <f t="shared" ca="1" si="51"/>
        <v>19889</v>
      </c>
      <c r="DF29" s="94">
        <f t="shared" ca="1" si="51"/>
        <v>22966</v>
      </c>
      <c r="DG29" s="94">
        <f t="shared" ca="1" si="51"/>
        <v>26638</v>
      </c>
      <c r="DH29" s="94">
        <f t="shared" ca="1" si="51"/>
        <v>17435</v>
      </c>
      <c r="DI29" s="94">
        <f t="shared" ca="1" si="51"/>
        <v>21909</v>
      </c>
      <c r="DJ29" s="94">
        <f t="shared" ca="1" si="51"/>
        <v>22567</v>
      </c>
      <c r="DK29" s="94">
        <f t="shared" ca="1" si="51"/>
        <v>21780</v>
      </c>
      <c r="DL29" s="94">
        <f t="shared" ca="1" si="52"/>
        <v>23245</v>
      </c>
      <c r="DM29" s="94">
        <f t="shared" ca="1" si="52"/>
        <v>23737</v>
      </c>
      <c r="DN29" s="94">
        <f t="shared" ca="1" si="52"/>
        <v>23101</v>
      </c>
      <c r="DO29" s="94">
        <f t="shared" ca="1" si="52"/>
        <v>26790</v>
      </c>
      <c r="DP29" s="94">
        <f t="shared" ca="1" si="52"/>
        <v>27903</v>
      </c>
      <c r="DQ29" s="94">
        <f t="shared" ca="1" si="52"/>
        <v>35283</v>
      </c>
      <c r="DR29" s="94">
        <f t="shared" ca="1" si="52"/>
        <v>33354</v>
      </c>
      <c r="DS29" s="94">
        <f t="shared" ca="1" si="52"/>
        <v>33053</v>
      </c>
      <c r="DT29" s="94">
        <f t="shared" ca="1" si="52"/>
        <v>30491</v>
      </c>
      <c r="DU29" s="94">
        <f t="shared" ca="1" si="52"/>
        <v>31047</v>
      </c>
      <c r="DV29" s="94">
        <f t="shared" ca="1" si="53"/>
        <v>32018</v>
      </c>
      <c r="DW29" s="94">
        <f t="shared" ca="1" si="53"/>
        <v>32240</v>
      </c>
      <c r="DX29" s="94">
        <f t="shared" ca="1" si="53"/>
        <v>19627</v>
      </c>
      <c r="DY29" s="94">
        <f t="shared" ca="1" si="53"/>
        <v>19335</v>
      </c>
      <c r="DZ29" s="94">
        <f t="shared" ca="1" si="53"/>
        <v>17889</v>
      </c>
      <c r="EA29" s="94">
        <f t="shared" ca="1" si="53"/>
        <v>15508</v>
      </c>
      <c r="EB29" s="94">
        <f t="shared" ca="1" si="53"/>
        <v>22224</v>
      </c>
      <c r="EC29" s="94">
        <f t="shared" ca="1" si="53"/>
        <v>21753</v>
      </c>
      <c r="ED29" s="94">
        <f t="shared" ca="1" si="53"/>
        <v>28017</v>
      </c>
      <c r="EE29" s="94">
        <f t="shared" ca="1" si="53"/>
        <v>55103</v>
      </c>
      <c r="EF29" s="94">
        <f t="shared" ca="1" si="54"/>
        <v>52556</v>
      </c>
      <c r="EG29" s="94">
        <f t="shared" ca="1" si="54"/>
        <v>90947</v>
      </c>
      <c r="EH29" s="94">
        <f t="shared" ca="1" si="54"/>
        <v>83271</v>
      </c>
      <c r="EI29" s="94">
        <f t="shared" ca="1" si="54"/>
        <v>82931</v>
      </c>
      <c r="EJ29" s="94">
        <f t="shared" ca="1" si="54"/>
        <v>89282</v>
      </c>
      <c r="EK29" s="94">
        <f t="shared" ca="1" si="54"/>
        <v>93975</v>
      </c>
      <c r="EL29" s="94">
        <f t="shared" ca="1" si="54"/>
        <v>95676</v>
      </c>
    </row>
    <row r="30" spans="2:142" x14ac:dyDescent="0.3">
      <c r="B30" s="12"/>
      <c r="C30" s="113"/>
      <c r="D30" s="185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</row>
    <row r="31" spans="2:142" ht="14.4" thickBot="1" x14ac:dyDescent="0.35">
      <c r="B31" s="40" t="s">
        <v>84</v>
      </c>
      <c r="C31" s="40" t="s">
        <v>394</v>
      </c>
      <c r="D31" s="181" t="str">
        <f>IF(Menu!$D$12="PT",'Dados Financeiros'!B31,'Dados Financeiros'!C31)</f>
        <v>Permanente</v>
      </c>
      <c r="E31" s="20">
        <f t="shared" ref="E31:AV31" si="55">SUM(E32:E34)</f>
        <v>27966</v>
      </c>
      <c r="F31" s="20">
        <f t="shared" si="55"/>
        <v>31092</v>
      </c>
      <c r="G31" s="20">
        <f t="shared" si="55"/>
        <v>35270</v>
      </c>
      <c r="H31" s="20">
        <f t="shared" si="55"/>
        <v>66611</v>
      </c>
      <c r="I31" s="20">
        <f t="shared" si="55"/>
        <v>56093</v>
      </c>
      <c r="J31" s="20">
        <f t="shared" si="55"/>
        <v>64201</v>
      </c>
      <c r="K31" s="20">
        <f t="shared" si="55"/>
        <v>69840</v>
      </c>
      <c r="L31" s="20">
        <f t="shared" si="55"/>
        <v>76885</v>
      </c>
      <c r="M31" s="20">
        <f t="shared" si="55"/>
        <v>79599</v>
      </c>
      <c r="N31" s="20">
        <f t="shared" si="55"/>
        <v>52753</v>
      </c>
      <c r="O31" s="20">
        <f t="shared" si="55"/>
        <v>54108</v>
      </c>
      <c r="P31" s="20">
        <f t="shared" si="55"/>
        <v>56872</v>
      </c>
      <c r="Q31" s="20">
        <f t="shared" si="55"/>
        <v>49203</v>
      </c>
      <c r="R31" s="20">
        <f t="shared" si="55"/>
        <v>51689</v>
      </c>
      <c r="S31" s="20">
        <f t="shared" si="55"/>
        <v>53262</v>
      </c>
      <c r="T31" s="20">
        <f t="shared" si="55"/>
        <v>57694</v>
      </c>
      <c r="U31" s="20">
        <f t="shared" si="55"/>
        <v>59641</v>
      </c>
      <c r="V31" s="20">
        <f t="shared" si="55"/>
        <v>54393</v>
      </c>
      <c r="W31" s="20">
        <f t="shared" si="55"/>
        <v>62653</v>
      </c>
      <c r="X31" s="20">
        <f t="shared" si="55"/>
        <v>70310</v>
      </c>
      <c r="Y31" s="20">
        <f t="shared" si="55"/>
        <v>71964</v>
      </c>
      <c r="Z31" s="20">
        <f t="shared" si="55"/>
        <v>437173</v>
      </c>
      <c r="AA31" s="20">
        <f t="shared" si="55"/>
        <v>84713</v>
      </c>
      <c r="AB31" s="20">
        <f t="shared" si="55"/>
        <v>444760</v>
      </c>
      <c r="AC31" s="20">
        <f t="shared" si="55"/>
        <v>112869</v>
      </c>
      <c r="AD31" s="20">
        <f t="shared" si="55"/>
        <v>470665</v>
      </c>
      <c r="AE31" s="20">
        <f t="shared" si="55"/>
        <v>116405</v>
      </c>
      <c r="AF31" s="20">
        <f t="shared" si="55"/>
        <v>478365</v>
      </c>
      <c r="AG31" s="20">
        <f t="shared" si="55"/>
        <v>451878</v>
      </c>
      <c r="AH31" s="20">
        <f t="shared" si="55"/>
        <v>470590</v>
      </c>
      <c r="AI31" s="20">
        <f t="shared" si="55"/>
        <v>459684</v>
      </c>
      <c r="AJ31" s="20">
        <f t="shared" si="55"/>
        <v>448795</v>
      </c>
      <c r="AK31" s="20">
        <f t="shared" si="55"/>
        <v>453055</v>
      </c>
      <c r="AL31" s="20">
        <f t="shared" si="55"/>
        <v>449115</v>
      </c>
      <c r="AM31" s="20">
        <f t="shared" si="55"/>
        <v>426666</v>
      </c>
      <c r="AN31" s="20">
        <f t="shared" si="55"/>
        <v>435041</v>
      </c>
      <c r="AO31" s="20">
        <f t="shared" si="55"/>
        <v>445689</v>
      </c>
      <c r="AP31" s="20">
        <f t="shared" si="55"/>
        <v>432333</v>
      </c>
      <c r="AQ31" s="20">
        <f t="shared" si="55"/>
        <v>432534</v>
      </c>
      <c r="AR31" s="20">
        <f t="shared" si="55"/>
        <v>898686</v>
      </c>
      <c r="AS31" s="20">
        <f t="shared" si="55"/>
        <v>914700</v>
      </c>
      <c r="AT31" s="20">
        <f t="shared" si="55"/>
        <v>883891</v>
      </c>
      <c r="AU31" s="20">
        <f t="shared" si="55"/>
        <v>871745</v>
      </c>
      <c r="AV31" s="20">
        <f t="shared" si="55"/>
        <v>854319</v>
      </c>
      <c r="AW31" s="20">
        <f t="shared" ref="AW31:AX31" si="56">SUM(AW32:AW34)</f>
        <v>844583</v>
      </c>
      <c r="AX31" s="20">
        <f t="shared" si="56"/>
        <v>841141</v>
      </c>
      <c r="AY31" s="20">
        <f t="shared" ref="AY31:BC31" si="57">SUM(AY32:AY34)</f>
        <v>826083</v>
      </c>
      <c r="AZ31" s="20">
        <f t="shared" ref="AZ31:BB31" si="58">SUM(AZ32:AZ34)</f>
        <v>837922</v>
      </c>
      <c r="BA31" s="20">
        <f t="shared" si="58"/>
        <v>828894</v>
      </c>
      <c r="BB31" s="20">
        <f t="shared" si="58"/>
        <v>823227</v>
      </c>
      <c r="BC31" s="20">
        <f t="shared" si="57"/>
        <v>798446</v>
      </c>
      <c r="BD31" s="20">
        <f t="shared" ref="BD31:BE31" si="59">SUM(BD32:BD34)</f>
        <v>808070</v>
      </c>
      <c r="BE31" s="20">
        <f t="shared" si="59"/>
        <v>783984</v>
      </c>
      <c r="BF31" s="20">
        <f t="shared" ref="BF31:BG31" si="60">SUM(BF32:BF34)</f>
        <v>748829</v>
      </c>
      <c r="BG31" s="20">
        <f t="shared" si="60"/>
        <v>734580</v>
      </c>
      <c r="BH31" s="20">
        <f t="shared" ref="BH31:BN31" si="61">SUM(BH32:BH34)</f>
        <v>655206</v>
      </c>
      <c r="BI31" s="20">
        <f t="shared" si="61"/>
        <v>644767</v>
      </c>
      <c r="BJ31" s="20">
        <f t="shared" si="61"/>
        <v>631292</v>
      </c>
      <c r="BK31" s="20">
        <f t="shared" si="61"/>
        <v>619164</v>
      </c>
      <c r="BL31" s="20">
        <f t="shared" si="61"/>
        <v>611972</v>
      </c>
      <c r="BM31" s="20">
        <f t="shared" si="61"/>
        <v>621128</v>
      </c>
      <c r="BN31" s="20">
        <f t="shared" si="61"/>
        <v>632661</v>
      </c>
      <c r="BO31" s="20">
        <v>619978</v>
      </c>
      <c r="BP31" s="20">
        <f t="shared" ref="BP31" si="62">SUM(BP32:BP34)</f>
        <v>616363</v>
      </c>
      <c r="BQ31" s="20">
        <f t="shared" ref="BQ31:BS31" si="63">SUM(BQ32:BQ34)</f>
        <v>620097</v>
      </c>
      <c r="BR31" s="20">
        <f t="shared" si="63"/>
        <v>575811</v>
      </c>
      <c r="BS31" s="20">
        <f t="shared" si="63"/>
        <v>561903</v>
      </c>
      <c r="BT31" s="20">
        <f t="shared" ref="BT31:BW31" si="64">SUM(BT32:BT34)</f>
        <v>527538</v>
      </c>
      <c r="BU31" s="20">
        <f t="shared" si="64"/>
        <v>480168</v>
      </c>
      <c r="BV31" s="20">
        <f t="shared" si="64"/>
        <v>484190</v>
      </c>
      <c r="BW31" s="20">
        <f t="shared" si="64"/>
        <v>487795</v>
      </c>
      <c r="BX31" s="20">
        <f t="shared" ref="BX31:BY31" si="65">SUM(BX32:BX34)</f>
        <v>494713</v>
      </c>
      <c r="BY31" s="20">
        <f t="shared" si="65"/>
        <v>487793</v>
      </c>
      <c r="BZ31" s="20">
        <f t="shared" ref="BZ31:CB31" si="66">SUM(BZ32:BZ34)</f>
        <v>537022</v>
      </c>
      <c r="CA31" s="20">
        <f t="shared" si="66"/>
        <v>537354</v>
      </c>
      <c r="CB31" s="20">
        <f t="shared" si="66"/>
        <v>552016</v>
      </c>
      <c r="CC31" s="20">
        <f t="shared" ref="CC31:CD31" si="67">SUM(CC32:CC34)</f>
        <v>559137</v>
      </c>
      <c r="CD31" s="20">
        <f t="shared" si="67"/>
        <v>564011</v>
      </c>
      <c r="CE31" s="20">
        <f t="shared" ref="CE31:CF31" si="68">SUM(CE32:CE34)</f>
        <v>577469</v>
      </c>
      <c r="CF31" s="20">
        <f t="shared" si="68"/>
        <v>475110</v>
      </c>
      <c r="CH31" s="20">
        <f t="shared" ref="CH31:DR31" ca="1" si="69">SUM(CH32:CH34)</f>
        <v>31092</v>
      </c>
      <c r="CI31" s="20">
        <f t="shared" ca="1" si="69"/>
        <v>35270</v>
      </c>
      <c r="CJ31" s="20">
        <f t="shared" ca="1" si="69"/>
        <v>66611</v>
      </c>
      <c r="CK31" s="20">
        <f t="shared" ca="1" si="69"/>
        <v>64201</v>
      </c>
      <c r="CL31" s="20">
        <f t="shared" ca="1" si="69"/>
        <v>69840</v>
      </c>
      <c r="CM31" s="20">
        <f t="shared" ca="1" si="69"/>
        <v>76885</v>
      </c>
      <c r="CN31" s="20">
        <f t="shared" ca="1" si="69"/>
        <v>52753</v>
      </c>
      <c r="CO31" s="20">
        <f t="shared" ca="1" si="69"/>
        <v>54108</v>
      </c>
      <c r="CP31" s="20">
        <f t="shared" ca="1" si="69"/>
        <v>56872</v>
      </c>
      <c r="CQ31" s="20">
        <f t="shared" ca="1" si="69"/>
        <v>51689</v>
      </c>
      <c r="CR31" s="20">
        <f t="shared" ca="1" si="69"/>
        <v>53262</v>
      </c>
      <c r="CS31" s="20">
        <f t="shared" ca="1" si="69"/>
        <v>57694</v>
      </c>
      <c r="CT31" s="20">
        <f t="shared" ca="1" si="69"/>
        <v>54393</v>
      </c>
      <c r="CU31" s="20">
        <f t="shared" ca="1" si="69"/>
        <v>62653</v>
      </c>
      <c r="CV31" s="20">
        <f t="shared" ca="1" si="69"/>
        <v>70310</v>
      </c>
      <c r="CW31" s="20">
        <f t="shared" ca="1" si="69"/>
        <v>444760</v>
      </c>
      <c r="CX31" s="20">
        <f t="shared" ca="1" si="69"/>
        <v>470665</v>
      </c>
      <c r="CY31" s="20">
        <f t="shared" ca="1" si="69"/>
        <v>478365</v>
      </c>
      <c r="CZ31" s="20">
        <f t="shared" ca="1" si="69"/>
        <v>470590</v>
      </c>
      <c r="DA31" s="20">
        <f t="shared" ca="1" si="69"/>
        <v>459684</v>
      </c>
      <c r="DB31" s="20">
        <f t="shared" ca="1" si="69"/>
        <v>448795</v>
      </c>
      <c r="DC31" s="20">
        <f t="shared" ca="1" si="69"/>
        <v>449115</v>
      </c>
      <c r="DD31" s="20">
        <f t="shared" ca="1" si="69"/>
        <v>426666</v>
      </c>
      <c r="DE31" s="20">
        <f t="shared" ca="1" si="69"/>
        <v>435041</v>
      </c>
      <c r="DF31" s="20">
        <f t="shared" ca="1" si="69"/>
        <v>432333</v>
      </c>
      <c r="DG31" s="20">
        <f t="shared" ca="1" si="69"/>
        <v>432534</v>
      </c>
      <c r="DH31" s="20">
        <f t="shared" ca="1" si="69"/>
        <v>898686</v>
      </c>
      <c r="DI31" s="20">
        <f t="shared" ca="1" si="69"/>
        <v>883891</v>
      </c>
      <c r="DJ31" s="20">
        <f t="shared" ca="1" si="69"/>
        <v>871745</v>
      </c>
      <c r="DK31" s="20">
        <f t="shared" ca="1" si="69"/>
        <v>854319</v>
      </c>
      <c r="DL31" s="20">
        <f t="shared" ca="1" si="69"/>
        <v>841141</v>
      </c>
      <c r="DM31" s="20">
        <f t="shared" ca="1" si="69"/>
        <v>826083</v>
      </c>
      <c r="DN31" s="20">
        <f t="shared" ca="1" si="69"/>
        <v>837922</v>
      </c>
      <c r="DO31" s="20">
        <f t="shared" ca="1" si="69"/>
        <v>823227</v>
      </c>
      <c r="DP31" s="20">
        <f t="shared" ca="1" si="69"/>
        <v>798446</v>
      </c>
      <c r="DQ31" s="20">
        <f t="shared" ca="1" si="69"/>
        <v>808070</v>
      </c>
      <c r="DR31" s="20">
        <f t="shared" ca="1" si="69"/>
        <v>748829</v>
      </c>
      <c r="DS31" s="20">
        <f t="shared" ref="DS31:DU31" ca="1" si="70">SUM(DS32:DS34)</f>
        <v>734580</v>
      </c>
      <c r="DT31" s="20">
        <f t="shared" ca="1" si="70"/>
        <v>655206</v>
      </c>
      <c r="DU31" s="20">
        <f t="shared" ca="1" si="70"/>
        <v>631292</v>
      </c>
      <c r="DV31" s="20">
        <f t="shared" ref="DV31:DY31" ca="1" si="71">SUM(DV32:DV34)</f>
        <v>619164</v>
      </c>
      <c r="DW31" s="20">
        <f t="shared" ca="1" si="71"/>
        <v>611972</v>
      </c>
      <c r="DX31" s="20">
        <f t="shared" ca="1" si="71"/>
        <v>632661</v>
      </c>
      <c r="DY31" s="20">
        <f t="shared" ca="1" si="71"/>
        <v>619978</v>
      </c>
      <c r="DZ31" s="20">
        <f t="shared" ref="DZ31:EB31" ca="1" si="72">SUM(DZ32:DZ34)</f>
        <v>616363</v>
      </c>
      <c r="EA31" s="20">
        <f t="shared" ca="1" si="72"/>
        <v>575811</v>
      </c>
      <c r="EB31" s="20">
        <f t="shared" ca="1" si="72"/>
        <v>561903</v>
      </c>
      <c r="EC31" s="20">
        <f t="shared" ref="EC31:EF31" ca="1" si="73">SUM(EC32:EC34)</f>
        <v>527538</v>
      </c>
      <c r="ED31" s="20">
        <f t="shared" ca="1" si="73"/>
        <v>484190</v>
      </c>
      <c r="EE31" s="20">
        <f t="shared" ca="1" si="73"/>
        <v>487795</v>
      </c>
      <c r="EF31" s="20">
        <f t="shared" ca="1" si="73"/>
        <v>494713</v>
      </c>
      <c r="EG31" s="20">
        <f t="shared" ref="EG31:EH31" ca="1" si="74">SUM(EG32:EG34)</f>
        <v>537022</v>
      </c>
      <c r="EH31" s="20">
        <f t="shared" ca="1" si="74"/>
        <v>537354</v>
      </c>
      <c r="EI31" s="20">
        <f t="shared" ref="EI31:EK31" ca="1" si="75">SUM(EI32:EI34)</f>
        <v>552016</v>
      </c>
      <c r="EJ31" s="20">
        <f t="shared" ca="1" si="75"/>
        <v>564011</v>
      </c>
      <c r="EK31" s="20">
        <f t="shared" ca="1" si="75"/>
        <v>577469</v>
      </c>
      <c r="EL31" s="20">
        <f t="shared" ref="EL31" ca="1" si="76">SUM(EL32:EL34)</f>
        <v>475110</v>
      </c>
    </row>
    <row r="32" spans="2:142" x14ac:dyDescent="0.3">
      <c r="B32" s="137" t="s">
        <v>83</v>
      </c>
      <c r="C32" s="111" t="s">
        <v>395</v>
      </c>
      <c r="D32" s="183" t="str">
        <f>IF(Menu!$D$12="PT",'Dados Financeiros'!B32,'Dados Financeiros'!C32)</f>
        <v>Investimentos</v>
      </c>
      <c r="E32" s="4">
        <v>24864</v>
      </c>
      <c r="F32" s="4">
        <v>27417</v>
      </c>
      <c r="G32" s="4">
        <v>30449</v>
      </c>
      <c r="H32" s="4">
        <v>60480</v>
      </c>
      <c r="I32" s="4">
        <v>0</v>
      </c>
      <c r="J32" s="4">
        <v>0</v>
      </c>
      <c r="K32" s="4">
        <v>32006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368496</v>
      </c>
      <c r="AA32" s="4">
        <v>0</v>
      </c>
      <c r="AB32" s="4">
        <v>363374</v>
      </c>
      <c r="AC32" s="4">
        <v>0</v>
      </c>
      <c r="AD32" s="4">
        <v>360971</v>
      </c>
      <c r="AE32" s="4">
        <v>0</v>
      </c>
      <c r="AF32" s="4">
        <v>364803</v>
      </c>
      <c r="AG32" s="4">
        <v>340453</v>
      </c>
      <c r="AH32" s="4">
        <v>361017</v>
      </c>
      <c r="AI32" s="4">
        <v>352239</v>
      </c>
      <c r="AJ32" s="4">
        <v>342434</v>
      </c>
      <c r="AK32" s="4">
        <v>350004</v>
      </c>
      <c r="AL32" s="4">
        <v>348815</v>
      </c>
      <c r="AM32" s="4">
        <v>329444</v>
      </c>
      <c r="AN32" s="32">
        <v>339204</v>
      </c>
      <c r="AO32" s="4">
        <v>352565</v>
      </c>
      <c r="AP32" s="4">
        <v>345645</v>
      </c>
      <c r="AQ32" s="4">
        <v>349324</v>
      </c>
      <c r="AR32" s="4">
        <v>841200</v>
      </c>
      <c r="AS32" s="4">
        <v>857798</v>
      </c>
      <c r="AT32" s="4">
        <v>828932</v>
      </c>
      <c r="AU32" s="4">
        <v>818895</v>
      </c>
      <c r="AV32" s="4">
        <v>802028</v>
      </c>
      <c r="AW32" s="32">
        <v>792984</v>
      </c>
      <c r="AX32" s="32">
        <v>794036</v>
      </c>
      <c r="AY32" s="32">
        <v>781959</v>
      </c>
      <c r="AZ32" s="32">
        <v>795239</v>
      </c>
      <c r="BA32" s="32">
        <v>788187</v>
      </c>
      <c r="BB32" s="32">
        <v>789411</v>
      </c>
      <c r="BC32" s="32">
        <v>764637</v>
      </c>
      <c r="BD32" s="32">
        <v>776199</v>
      </c>
      <c r="BE32" s="32">
        <v>749179</v>
      </c>
      <c r="BF32" s="32">
        <v>715587</v>
      </c>
      <c r="BG32" s="32">
        <v>704848</v>
      </c>
      <c r="BH32" s="32">
        <v>626818</v>
      </c>
      <c r="BI32" s="32">
        <v>617037</v>
      </c>
      <c r="BJ32" s="32">
        <v>605120</v>
      </c>
      <c r="BK32" s="32">
        <v>592426</v>
      </c>
      <c r="BL32" s="32">
        <v>583615</v>
      </c>
      <c r="BM32" s="32">
        <v>595498</v>
      </c>
      <c r="BN32" s="32">
        <v>607316</v>
      </c>
      <c r="BO32" s="32">
        <v>591247</v>
      </c>
      <c r="BP32" s="32">
        <v>589630</v>
      </c>
      <c r="BQ32" s="32">
        <v>596655</v>
      </c>
      <c r="BR32" s="32">
        <v>555739</v>
      </c>
      <c r="BS32" s="32">
        <v>540428</v>
      </c>
      <c r="BT32" s="32">
        <v>505589</v>
      </c>
      <c r="BU32" s="32">
        <v>458292</v>
      </c>
      <c r="BV32" s="32">
        <v>458991</v>
      </c>
      <c r="BW32" s="32">
        <v>463300</v>
      </c>
      <c r="BX32" s="32">
        <v>472426</v>
      </c>
      <c r="BY32" s="32">
        <v>467120</v>
      </c>
      <c r="BZ32" s="32">
        <v>516992</v>
      </c>
      <c r="CA32" s="32">
        <v>519574</v>
      </c>
      <c r="CB32" s="32">
        <v>535445</v>
      </c>
      <c r="CC32" s="32">
        <v>543455</v>
      </c>
      <c r="CD32" s="32">
        <v>549759</v>
      </c>
      <c r="CE32" s="32">
        <v>565551</v>
      </c>
      <c r="CF32" s="32">
        <v>464375</v>
      </c>
      <c r="CH32" s="94">
        <f t="shared" ref="CH32:CQ34" ca="1" si="77">INDIRECT(ADDRESS(ROW(),MATCH(IF(LEFT(CH$2,2)="1S","2T",IF(LEFT(CH$2,2)="9M","3T","4T"))&amp;RIGHT(CH$2,2),$A$2:$CG$2,0)))</f>
        <v>27417</v>
      </c>
      <c r="CI32" s="94">
        <f t="shared" ca="1" si="77"/>
        <v>30449</v>
      </c>
      <c r="CJ32" s="94">
        <f t="shared" ca="1" si="77"/>
        <v>60480</v>
      </c>
      <c r="CK32" s="94">
        <f t="shared" ca="1" si="77"/>
        <v>0</v>
      </c>
      <c r="CL32" s="94">
        <f t="shared" ca="1" si="77"/>
        <v>32006</v>
      </c>
      <c r="CM32" s="94">
        <f t="shared" ca="1" si="77"/>
        <v>0</v>
      </c>
      <c r="CN32" s="94">
        <f t="shared" ca="1" si="77"/>
        <v>0</v>
      </c>
      <c r="CO32" s="94">
        <f t="shared" ca="1" si="77"/>
        <v>0</v>
      </c>
      <c r="CP32" s="94">
        <f t="shared" ca="1" si="77"/>
        <v>0</v>
      </c>
      <c r="CQ32" s="94">
        <f t="shared" ca="1" si="77"/>
        <v>0</v>
      </c>
      <c r="CR32" s="94">
        <f t="shared" ref="CR32:DA34" ca="1" si="78">INDIRECT(ADDRESS(ROW(),MATCH(IF(LEFT(CR$2,2)="1S","2T",IF(LEFT(CR$2,2)="9M","3T","4T"))&amp;RIGHT(CR$2,2),$A$2:$CG$2,0)))</f>
        <v>0</v>
      </c>
      <c r="CS32" s="94">
        <f t="shared" ca="1" si="78"/>
        <v>0</v>
      </c>
      <c r="CT32" s="94">
        <f t="shared" ca="1" si="78"/>
        <v>0</v>
      </c>
      <c r="CU32" s="94">
        <f t="shared" ca="1" si="78"/>
        <v>0</v>
      </c>
      <c r="CV32" s="94">
        <f t="shared" ca="1" si="78"/>
        <v>0</v>
      </c>
      <c r="CW32" s="94">
        <f t="shared" ca="1" si="78"/>
        <v>363374</v>
      </c>
      <c r="CX32" s="94">
        <f t="shared" ca="1" si="78"/>
        <v>360971</v>
      </c>
      <c r="CY32" s="94">
        <f t="shared" ca="1" si="78"/>
        <v>364803</v>
      </c>
      <c r="CZ32" s="94">
        <f t="shared" ca="1" si="78"/>
        <v>361017</v>
      </c>
      <c r="DA32" s="94">
        <f t="shared" ca="1" si="78"/>
        <v>352239</v>
      </c>
      <c r="DB32" s="94">
        <f t="shared" ref="DB32:DK34" ca="1" si="79">INDIRECT(ADDRESS(ROW(),MATCH(IF(LEFT(DB$2,2)="1S","2T",IF(LEFT(DB$2,2)="9M","3T","4T"))&amp;RIGHT(DB$2,2),$A$2:$CG$2,0)))</f>
        <v>342434</v>
      </c>
      <c r="DC32" s="94">
        <f t="shared" ca="1" si="79"/>
        <v>348815</v>
      </c>
      <c r="DD32" s="94">
        <f t="shared" ca="1" si="79"/>
        <v>329444</v>
      </c>
      <c r="DE32" s="94">
        <f t="shared" ca="1" si="79"/>
        <v>339204</v>
      </c>
      <c r="DF32" s="94">
        <f t="shared" ca="1" si="79"/>
        <v>345645</v>
      </c>
      <c r="DG32" s="94">
        <f t="shared" ca="1" si="79"/>
        <v>349324</v>
      </c>
      <c r="DH32" s="94">
        <f t="shared" ca="1" si="79"/>
        <v>841200</v>
      </c>
      <c r="DI32" s="94">
        <f t="shared" ca="1" si="79"/>
        <v>828932</v>
      </c>
      <c r="DJ32" s="94">
        <f t="shared" ca="1" si="79"/>
        <v>818895</v>
      </c>
      <c r="DK32" s="94">
        <f t="shared" ca="1" si="79"/>
        <v>802028</v>
      </c>
      <c r="DL32" s="94">
        <f t="shared" ref="DL32:DU34" ca="1" si="80">INDIRECT(ADDRESS(ROW(),MATCH(IF(LEFT(DL$2,2)="1S","2T",IF(LEFT(DL$2,2)="9M","3T","4T"))&amp;RIGHT(DL$2,2),$A$2:$CG$2,0)))</f>
        <v>794036</v>
      </c>
      <c r="DM32" s="94">
        <f t="shared" ca="1" si="80"/>
        <v>781959</v>
      </c>
      <c r="DN32" s="94">
        <f t="shared" ca="1" si="80"/>
        <v>795239</v>
      </c>
      <c r="DO32" s="94">
        <f t="shared" ca="1" si="80"/>
        <v>789411</v>
      </c>
      <c r="DP32" s="94">
        <f t="shared" ca="1" si="80"/>
        <v>764637</v>
      </c>
      <c r="DQ32" s="94">
        <f t="shared" ca="1" si="80"/>
        <v>776199</v>
      </c>
      <c r="DR32" s="94">
        <f t="shared" ca="1" si="80"/>
        <v>715587</v>
      </c>
      <c r="DS32" s="94">
        <f t="shared" ca="1" si="80"/>
        <v>704848</v>
      </c>
      <c r="DT32" s="94">
        <f t="shared" ca="1" si="80"/>
        <v>626818</v>
      </c>
      <c r="DU32" s="94">
        <f t="shared" ca="1" si="80"/>
        <v>605120</v>
      </c>
      <c r="DV32" s="94">
        <f t="shared" ref="DV32:EE34" ca="1" si="81">INDIRECT(ADDRESS(ROW(),MATCH(IF(LEFT(DV$2,2)="1S","2T",IF(LEFT(DV$2,2)="9M","3T","4T"))&amp;RIGHT(DV$2,2),$A$2:$CG$2,0)))</f>
        <v>592426</v>
      </c>
      <c r="DW32" s="94">
        <f t="shared" ca="1" si="81"/>
        <v>583615</v>
      </c>
      <c r="DX32" s="94">
        <f t="shared" ca="1" si="81"/>
        <v>607316</v>
      </c>
      <c r="DY32" s="94">
        <f t="shared" ca="1" si="81"/>
        <v>591247</v>
      </c>
      <c r="DZ32" s="94">
        <f t="shared" ca="1" si="81"/>
        <v>589630</v>
      </c>
      <c r="EA32" s="94">
        <f t="shared" ca="1" si="81"/>
        <v>555739</v>
      </c>
      <c r="EB32" s="94">
        <f t="shared" ca="1" si="81"/>
        <v>540428</v>
      </c>
      <c r="EC32" s="94">
        <f t="shared" ca="1" si="81"/>
        <v>505589</v>
      </c>
      <c r="ED32" s="94">
        <f t="shared" ca="1" si="81"/>
        <v>458991</v>
      </c>
      <c r="EE32" s="94">
        <f t="shared" ca="1" si="81"/>
        <v>463300</v>
      </c>
      <c r="EF32" s="94">
        <f t="shared" ref="EF32:EL34" ca="1" si="82">INDIRECT(ADDRESS(ROW(),MATCH(IF(LEFT(EF$2,2)="1S","2T",IF(LEFT(EF$2,2)="9M","3T","4T"))&amp;RIGHT(EF$2,2),$A$2:$CG$2,0)))</f>
        <v>472426</v>
      </c>
      <c r="EG32" s="94">
        <f t="shared" ca="1" si="82"/>
        <v>516992</v>
      </c>
      <c r="EH32" s="94">
        <f t="shared" ca="1" si="82"/>
        <v>519574</v>
      </c>
      <c r="EI32" s="94">
        <f t="shared" ca="1" si="82"/>
        <v>535445</v>
      </c>
      <c r="EJ32" s="94">
        <f t="shared" ca="1" si="82"/>
        <v>549759</v>
      </c>
      <c r="EK32" s="94">
        <f t="shared" ca="1" si="82"/>
        <v>565551</v>
      </c>
      <c r="EL32" s="94">
        <f t="shared" ca="1" si="82"/>
        <v>464375</v>
      </c>
    </row>
    <row r="33" spans="2:142" x14ac:dyDescent="0.3">
      <c r="B33" s="110" t="s">
        <v>82</v>
      </c>
      <c r="C33" s="110" t="s">
        <v>396</v>
      </c>
      <c r="D33" s="182" t="str">
        <f>IF(Menu!$D$12="PT",'Dados Financeiros'!B33,'Dados Financeiros'!C33)</f>
        <v>Imobilizado</v>
      </c>
      <c r="E33" s="32">
        <v>2739</v>
      </c>
      <c r="F33" s="32">
        <v>3276</v>
      </c>
      <c r="G33" s="32">
        <v>3914</v>
      </c>
      <c r="H33" s="32">
        <v>5455</v>
      </c>
      <c r="I33" s="32">
        <v>56093</v>
      </c>
      <c r="J33" s="32">
        <v>26402</v>
      </c>
      <c r="K33" s="32">
        <v>34936</v>
      </c>
      <c r="L33" s="32">
        <v>36288</v>
      </c>
      <c r="M33" s="32">
        <v>38645</v>
      </c>
      <c r="N33" s="32">
        <v>33971</v>
      </c>
      <c r="O33" s="32">
        <v>30698</v>
      </c>
      <c r="P33" s="32">
        <v>29207</v>
      </c>
      <c r="Q33" s="32">
        <v>25942</v>
      </c>
      <c r="R33" s="32">
        <v>29125</v>
      </c>
      <c r="S33" s="32">
        <v>31340</v>
      </c>
      <c r="T33" s="32">
        <v>36022</v>
      </c>
      <c r="U33" s="32">
        <v>38397</v>
      </c>
      <c r="V33" s="32">
        <v>31991</v>
      </c>
      <c r="W33" s="32">
        <v>36669</v>
      </c>
      <c r="X33" s="32">
        <v>40171</v>
      </c>
      <c r="Y33" s="32">
        <v>41398</v>
      </c>
      <c r="Z33" s="32">
        <v>38111</v>
      </c>
      <c r="AA33" s="32">
        <v>53205</v>
      </c>
      <c r="AB33" s="32">
        <v>49878</v>
      </c>
      <c r="AC33" s="32">
        <v>66447</v>
      </c>
      <c r="AD33" s="32">
        <v>63272</v>
      </c>
      <c r="AE33" s="32">
        <v>71436</v>
      </c>
      <c r="AF33" s="32">
        <v>68593</v>
      </c>
      <c r="AG33" s="32">
        <v>69307</v>
      </c>
      <c r="AH33" s="32">
        <v>69048</v>
      </c>
      <c r="AI33" s="32">
        <v>67154</v>
      </c>
      <c r="AJ33" s="32">
        <v>66246</v>
      </c>
      <c r="AK33" s="32">
        <v>64292</v>
      </c>
      <c r="AL33" s="32">
        <v>62794</v>
      </c>
      <c r="AM33" s="32">
        <v>60188</v>
      </c>
      <c r="AN33" s="32">
        <v>57349</v>
      </c>
      <c r="AO33" s="4">
        <v>54630</v>
      </c>
      <c r="AP33" s="32">
        <v>48796</v>
      </c>
      <c r="AQ33" s="4">
        <v>45922</v>
      </c>
      <c r="AR33" s="4">
        <v>20266</v>
      </c>
      <c r="AS33" s="4">
        <v>20232</v>
      </c>
      <c r="AT33" s="4">
        <v>19109</v>
      </c>
      <c r="AU33" s="4">
        <v>17690</v>
      </c>
      <c r="AV33" s="4">
        <v>17319</v>
      </c>
      <c r="AW33" s="32">
        <v>17018</v>
      </c>
      <c r="AX33" s="32">
        <v>12983</v>
      </c>
      <c r="AY33" s="32">
        <v>10133</v>
      </c>
      <c r="AZ33" s="32">
        <v>9612</v>
      </c>
      <c r="BA33" s="32">
        <v>9124</v>
      </c>
      <c r="BB33" s="32">
        <v>3727</v>
      </c>
      <c r="BC33" s="32">
        <v>5187</v>
      </c>
      <c r="BD33" s="32">
        <v>4698</v>
      </c>
      <c r="BE33" s="32">
        <v>9056</v>
      </c>
      <c r="BF33" s="32">
        <v>8894</v>
      </c>
      <c r="BG33" s="32">
        <v>6726</v>
      </c>
      <c r="BH33" s="32">
        <v>6335</v>
      </c>
      <c r="BI33" s="32">
        <v>6949</v>
      </c>
      <c r="BJ33" s="32">
        <v>6504</v>
      </c>
      <c r="BK33" s="32">
        <v>8067</v>
      </c>
      <c r="BL33" s="32">
        <v>9945</v>
      </c>
      <c r="BM33" s="32">
        <v>8523</v>
      </c>
      <c r="BN33" s="32">
        <v>9451</v>
      </c>
      <c r="BO33" s="32">
        <v>14026</v>
      </c>
      <c r="BP33" s="32">
        <v>13117</v>
      </c>
      <c r="BQ33" s="32">
        <v>11049</v>
      </c>
      <c r="BR33" s="32">
        <v>8347</v>
      </c>
      <c r="BS33" s="32">
        <v>10508</v>
      </c>
      <c r="BT33" s="32">
        <v>11478</v>
      </c>
      <c r="BU33" s="32">
        <v>11889</v>
      </c>
      <c r="BV33" s="32">
        <v>12767</v>
      </c>
      <c r="BW33" s="32">
        <v>12682</v>
      </c>
      <c r="BX33" s="32">
        <v>10526</v>
      </c>
      <c r="BY33" s="32">
        <v>9611</v>
      </c>
      <c r="BZ33" s="32">
        <v>8867</v>
      </c>
      <c r="CA33" s="32">
        <v>7103</v>
      </c>
      <c r="CB33" s="32">
        <v>6187</v>
      </c>
      <c r="CC33" s="32">
        <v>5934</v>
      </c>
      <c r="CD33" s="32">
        <v>5280</v>
      </c>
      <c r="CE33" s="32">
        <v>3569</v>
      </c>
      <c r="CF33" s="32">
        <v>3126</v>
      </c>
      <c r="CH33" s="94">
        <f t="shared" ca="1" si="77"/>
        <v>3276</v>
      </c>
      <c r="CI33" s="94">
        <f t="shared" ca="1" si="77"/>
        <v>3914</v>
      </c>
      <c r="CJ33" s="94">
        <f t="shared" ca="1" si="77"/>
        <v>5455</v>
      </c>
      <c r="CK33" s="94">
        <f t="shared" ca="1" si="77"/>
        <v>26402</v>
      </c>
      <c r="CL33" s="94">
        <f t="shared" ca="1" si="77"/>
        <v>34936</v>
      </c>
      <c r="CM33" s="94">
        <f t="shared" ca="1" si="77"/>
        <v>36288</v>
      </c>
      <c r="CN33" s="94">
        <f t="shared" ca="1" si="77"/>
        <v>33971</v>
      </c>
      <c r="CO33" s="94">
        <f t="shared" ca="1" si="77"/>
        <v>30698</v>
      </c>
      <c r="CP33" s="94">
        <f t="shared" ca="1" si="77"/>
        <v>29207</v>
      </c>
      <c r="CQ33" s="94">
        <f t="shared" ca="1" si="77"/>
        <v>29125</v>
      </c>
      <c r="CR33" s="94">
        <f t="shared" ca="1" si="78"/>
        <v>31340</v>
      </c>
      <c r="CS33" s="94">
        <f t="shared" ca="1" si="78"/>
        <v>36022</v>
      </c>
      <c r="CT33" s="94">
        <f t="shared" ca="1" si="78"/>
        <v>31991</v>
      </c>
      <c r="CU33" s="94">
        <f t="shared" ca="1" si="78"/>
        <v>36669</v>
      </c>
      <c r="CV33" s="94">
        <f t="shared" ca="1" si="78"/>
        <v>40171</v>
      </c>
      <c r="CW33" s="94">
        <f t="shared" ca="1" si="78"/>
        <v>49878</v>
      </c>
      <c r="CX33" s="94">
        <f t="shared" ca="1" si="78"/>
        <v>63272</v>
      </c>
      <c r="CY33" s="94">
        <f t="shared" ca="1" si="78"/>
        <v>68593</v>
      </c>
      <c r="CZ33" s="94">
        <f t="shared" ca="1" si="78"/>
        <v>69048</v>
      </c>
      <c r="DA33" s="94">
        <f t="shared" ca="1" si="78"/>
        <v>67154</v>
      </c>
      <c r="DB33" s="94">
        <f t="shared" ca="1" si="79"/>
        <v>66246</v>
      </c>
      <c r="DC33" s="94">
        <f t="shared" ca="1" si="79"/>
        <v>62794</v>
      </c>
      <c r="DD33" s="94">
        <f t="shared" ca="1" si="79"/>
        <v>60188</v>
      </c>
      <c r="DE33" s="94">
        <f t="shared" ca="1" si="79"/>
        <v>57349</v>
      </c>
      <c r="DF33" s="94">
        <f t="shared" ca="1" si="79"/>
        <v>48796</v>
      </c>
      <c r="DG33" s="94">
        <f t="shared" ca="1" si="79"/>
        <v>45922</v>
      </c>
      <c r="DH33" s="94">
        <f t="shared" ca="1" si="79"/>
        <v>20266</v>
      </c>
      <c r="DI33" s="94">
        <f t="shared" ca="1" si="79"/>
        <v>19109</v>
      </c>
      <c r="DJ33" s="94">
        <f t="shared" ca="1" si="79"/>
        <v>17690</v>
      </c>
      <c r="DK33" s="94">
        <f t="shared" ca="1" si="79"/>
        <v>17319</v>
      </c>
      <c r="DL33" s="94">
        <f t="shared" ca="1" si="80"/>
        <v>12983</v>
      </c>
      <c r="DM33" s="94">
        <f t="shared" ca="1" si="80"/>
        <v>10133</v>
      </c>
      <c r="DN33" s="94">
        <f t="shared" ca="1" si="80"/>
        <v>9612</v>
      </c>
      <c r="DO33" s="94">
        <f t="shared" ca="1" si="80"/>
        <v>3727</v>
      </c>
      <c r="DP33" s="94">
        <f t="shared" ca="1" si="80"/>
        <v>5187</v>
      </c>
      <c r="DQ33" s="94">
        <f t="shared" ca="1" si="80"/>
        <v>4698</v>
      </c>
      <c r="DR33" s="94">
        <f t="shared" ca="1" si="80"/>
        <v>8894</v>
      </c>
      <c r="DS33" s="94">
        <f t="shared" ca="1" si="80"/>
        <v>6726</v>
      </c>
      <c r="DT33" s="94">
        <f t="shared" ca="1" si="80"/>
        <v>6335</v>
      </c>
      <c r="DU33" s="94">
        <f t="shared" ca="1" si="80"/>
        <v>6504</v>
      </c>
      <c r="DV33" s="94">
        <f t="shared" ca="1" si="81"/>
        <v>8067</v>
      </c>
      <c r="DW33" s="94">
        <f t="shared" ca="1" si="81"/>
        <v>9945</v>
      </c>
      <c r="DX33" s="94">
        <f t="shared" ca="1" si="81"/>
        <v>9451</v>
      </c>
      <c r="DY33" s="94">
        <f t="shared" ca="1" si="81"/>
        <v>14026</v>
      </c>
      <c r="DZ33" s="94">
        <f t="shared" ca="1" si="81"/>
        <v>13117</v>
      </c>
      <c r="EA33" s="94">
        <f t="shared" ca="1" si="81"/>
        <v>8347</v>
      </c>
      <c r="EB33" s="94">
        <f t="shared" ca="1" si="81"/>
        <v>10508</v>
      </c>
      <c r="EC33" s="94">
        <f t="shared" ca="1" si="81"/>
        <v>11478</v>
      </c>
      <c r="ED33" s="94">
        <f t="shared" ca="1" si="81"/>
        <v>12767</v>
      </c>
      <c r="EE33" s="94">
        <f t="shared" ca="1" si="81"/>
        <v>12682</v>
      </c>
      <c r="EF33" s="94">
        <f t="shared" ca="1" si="82"/>
        <v>10526</v>
      </c>
      <c r="EG33" s="94">
        <f t="shared" ca="1" si="82"/>
        <v>8867</v>
      </c>
      <c r="EH33" s="94">
        <f t="shared" ca="1" si="82"/>
        <v>7103</v>
      </c>
      <c r="EI33" s="94">
        <f t="shared" ca="1" si="82"/>
        <v>6187</v>
      </c>
      <c r="EJ33" s="94">
        <f t="shared" ca="1" si="82"/>
        <v>5280</v>
      </c>
      <c r="EK33" s="94">
        <f t="shared" ca="1" si="82"/>
        <v>3569</v>
      </c>
      <c r="EL33" s="94">
        <f t="shared" ca="1" si="82"/>
        <v>3126</v>
      </c>
    </row>
    <row r="34" spans="2:142" ht="14.4" thickBot="1" x14ac:dyDescent="0.35">
      <c r="B34" s="112" t="s">
        <v>81</v>
      </c>
      <c r="C34" s="112" t="s">
        <v>397</v>
      </c>
      <c r="D34" s="184" t="str">
        <f>IF(Menu!$D$12="PT",'Dados Financeiros'!B34,'Dados Financeiros'!C34)</f>
        <v>Intangível</v>
      </c>
      <c r="E34" s="36">
        <v>363</v>
      </c>
      <c r="F34" s="36">
        <v>399</v>
      </c>
      <c r="G34" s="36">
        <v>907</v>
      </c>
      <c r="H34" s="36">
        <v>676</v>
      </c>
      <c r="I34" s="36">
        <v>0</v>
      </c>
      <c r="J34" s="36">
        <v>37799</v>
      </c>
      <c r="K34" s="36">
        <v>2898</v>
      </c>
      <c r="L34" s="36">
        <v>40597</v>
      </c>
      <c r="M34" s="36">
        <v>40954</v>
      </c>
      <c r="N34" s="36">
        <v>18782</v>
      </c>
      <c r="O34" s="36">
        <v>23410</v>
      </c>
      <c r="P34" s="36">
        <v>27665</v>
      </c>
      <c r="Q34" s="36">
        <v>23261</v>
      </c>
      <c r="R34" s="36">
        <v>22564</v>
      </c>
      <c r="S34" s="36">
        <v>21922</v>
      </c>
      <c r="T34" s="36">
        <v>21672</v>
      </c>
      <c r="U34" s="36">
        <v>21244</v>
      </c>
      <c r="V34" s="36">
        <v>22402</v>
      </c>
      <c r="W34" s="36">
        <v>25984</v>
      </c>
      <c r="X34" s="36">
        <v>30139</v>
      </c>
      <c r="Y34" s="36">
        <v>30566</v>
      </c>
      <c r="Z34" s="36">
        <v>30566</v>
      </c>
      <c r="AA34" s="36">
        <v>31508</v>
      </c>
      <c r="AB34" s="36">
        <v>31508</v>
      </c>
      <c r="AC34" s="36">
        <v>46422</v>
      </c>
      <c r="AD34" s="36">
        <v>46422</v>
      </c>
      <c r="AE34" s="36">
        <v>44969</v>
      </c>
      <c r="AF34" s="36">
        <v>44969</v>
      </c>
      <c r="AG34" s="36">
        <v>42118</v>
      </c>
      <c r="AH34" s="36">
        <v>40525</v>
      </c>
      <c r="AI34" s="36">
        <v>40291</v>
      </c>
      <c r="AJ34" s="36">
        <v>40115</v>
      </c>
      <c r="AK34" s="36">
        <v>38759</v>
      </c>
      <c r="AL34" s="36">
        <v>37506</v>
      </c>
      <c r="AM34" s="36">
        <v>37034</v>
      </c>
      <c r="AN34" s="36">
        <v>38488</v>
      </c>
      <c r="AO34" s="91">
        <v>38494</v>
      </c>
      <c r="AP34" s="36">
        <v>37892</v>
      </c>
      <c r="AQ34" s="91">
        <v>37288</v>
      </c>
      <c r="AR34" s="91">
        <v>37220</v>
      </c>
      <c r="AS34" s="91">
        <v>36670</v>
      </c>
      <c r="AT34" s="91">
        <v>35850</v>
      </c>
      <c r="AU34" s="91">
        <v>35160</v>
      </c>
      <c r="AV34" s="91">
        <v>34972</v>
      </c>
      <c r="AW34" s="36">
        <v>34581</v>
      </c>
      <c r="AX34" s="36">
        <v>34122</v>
      </c>
      <c r="AY34" s="36">
        <v>33991</v>
      </c>
      <c r="AZ34" s="36">
        <v>33071</v>
      </c>
      <c r="BA34" s="36">
        <v>31583</v>
      </c>
      <c r="BB34" s="36">
        <v>30089</v>
      </c>
      <c r="BC34" s="36">
        <v>28622</v>
      </c>
      <c r="BD34" s="36">
        <v>27173</v>
      </c>
      <c r="BE34" s="36">
        <v>25749</v>
      </c>
      <c r="BF34" s="36">
        <v>24348</v>
      </c>
      <c r="BG34" s="36">
        <v>23006</v>
      </c>
      <c r="BH34" s="36">
        <v>22053</v>
      </c>
      <c r="BI34" s="36">
        <v>20781</v>
      </c>
      <c r="BJ34" s="36">
        <v>19668</v>
      </c>
      <c r="BK34" s="36">
        <v>18671</v>
      </c>
      <c r="BL34" s="36">
        <v>18412</v>
      </c>
      <c r="BM34" s="36">
        <v>17107</v>
      </c>
      <c r="BN34" s="36">
        <v>15894</v>
      </c>
      <c r="BO34" s="36">
        <v>14705</v>
      </c>
      <c r="BP34" s="36">
        <v>13616</v>
      </c>
      <c r="BQ34" s="36">
        <v>12393</v>
      </c>
      <c r="BR34" s="36">
        <v>11725</v>
      </c>
      <c r="BS34" s="36">
        <v>10967</v>
      </c>
      <c r="BT34" s="36">
        <v>10471</v>
      </c>
      <c r="BU34" s="36">
        <v>9987</v>
      </c>
      <c r="BV34" s="36">
        <v>12432</v>
      </c>
      <c r="BW34" s="36">
        <v>11813</v>
      </c>
      <c r="BX34" s="36">
        <v>11761</v>
      </c>
      <c r="BY34" s="36">
        <v>11062</v>
      </c>
      <c r="BZ34" s="36">
        <v>11163</v>
      </c>
      <c r="CA34" s="36">
        <v>10677</v>
      </c>
      <c r="CB34" s="36">
        <v>10384</v>
      </c>
      <c r="CC34" s="36">
        <v>9748</v>
      </c>
      <c r="CD34" s="36">
        <v>8972</v>
      </c>
      <c r="CE34" s="36">
        <v>8349</v>
      </c>
      <c r="CF34" s="36">
        <v>7609</v>
      </c>
      <c r="CH34" s="94">
        <f t="shared" ca="1" si="77"/>
        <v>399</v>
      </c>
      <c r="CI34" s="94">
        <f t="shared" ca="1" si="77"/>
        <v>907</v>
      </c>
      <c r="CJ34" s="94">
        <f t="shared" ca="1" si="77"/>
        <v>676</v>
      </c>
      <c r="CK34" s="94">
        <f t="shared" ca="1" si="77"/>
        <v>37799</v>
      </c>
      <c r="CL34" s="94">
        <f t="shared" ca="1" si="77"/>
        <v>2898</v>
      </c>
      <c r="CM34" s="94">
        <f t="shared" ca="1" si="77"/>
        <v>40597</v>
      </c>
      <c r="CN34" s="94">
        <f t="shared" ca="1" si="77"/>
        <v>18782</v>
      </c>
      <c r="CO34" s="94">
        <f t="shared" ca="1" si="77"/>
        <v>23410</v>
      </c>
      <c r="CP34" s="94">
        <f t="shared" ca="1" si="77"/>
        <v>27665</v>
      </c>
      <c r="CQ34" s="94">
        <f t="shared" ca="1" si="77"/>
        <v>22564</v>
      </c>
      <c r="CR34" s="94">
        <f t="shared" ca="1" si="78"/>
        <v>21922</v>
      </c>
      <c r="CS34" s="94">
        <f t="shared" ca="1" si="78"/>
        <v>21672</v>
      </c>
      <c r="CT34" s="94">
        <f t="shared" ca="1" si="78"/>
        <v>22402</v>
      </c>
      <c r="CU34" s="94">
        <f t="shared" ca="1" si="78"/>
        <v>25984</v>
      </c>
      <c r="CV34" s="94">
        <f t="shared" ca="1" si="78"/>
        <v>30139</v>
      </c>
      <c r="CW34" s="94">
        <f t="shared" ca="1" si="78"/>
        <v>31508</v>
      </c>
      <c r="CX34" s="94">
        <f t="shared" ca="1" si="78"/>
        <v>46422</v>
      </c>
      <c r="CY34" s="94">
        <f t="shared" ca="1" si="78"/>
        <v>44969</v>
      </c>
      <c r="CZ34" s="94">
        <f t="shared" ca="1" si="78"/>
        <v>40525</v>
      </c>
      <c r="DA34" s="94">
        <f t="shared" ca="1" si="78"/>
        <v>40291</v>
      </c>
      <c r="DB34" s="94">
        <f t="shared" ca="1" si="79"/>
        <v>40115</v>
      </c>
      <c r="DC34" s="94">
        <f t="shared" ca="1" si="79"/>
        <v>37506</v>
      </c>
      <c r="DD34" s="94">
        <f t="shared" ca="1" si="79"/>
        <v>37034</v>
      </c>
      <c r="DE34" s="94">
        <f t="shared" ca="1" si="79"/>
        <v>38488</v>
      </c>
      <c r="DF34" s="94">
        <f t="shared" ca="1" si="79"/>
        <v>37892</v>
      </c>
      <c r="DG34" s="94">
        <f t="shared" ca="1" si="79"/>
        <v>37288</v>
      </c>
      <c r="DH34" s="94">
        <f t="shared" ca="1" si="79"/>
        <v>37220</v>
      </c>
      <c r="DI34" s="94">
        <f t="shared" ca="1" si="79"/>
        <v>35850</v>
      </c>
      <c r="DJ34" s="94">
        <f t="shared" ca="1" si="79"/>
        <v>35160</v>
      </c>
      <c r="DK34" s="94">
        <f t="shared" ca="1" si="79"/>
        <v>34972</v>
      </c>
      <c r="DL34" s="94">
        <f t="shared" ca="1" si="80"/>
        <v>34122</v>
      </c>
      <c r="DM34" s="94">
        <f t="shared" ca="1" si="80"/>
        <v>33991</v>
      </c>
      <c r="DN34" s="94">
        <f t="shared" ca="1" si="80"/>
        <v>33071</v>
      </c>
      <c r="DO34" s="94">
        <f t="shared" ca="1" si="80"/>
        <v>30089</v>
      </c>
      <c r="DP34" s="94">
        <f t="shared" ca="1" si="80"/>
        <v>28622</v>
      </c>
      <c r="DQ34" s="94">
        <f t="shared" ca="1" si="80"/>
        <v>27173</v>
      </c>
      <c r="DR34" s="94">
        <f t="shared" ca="1" si="80"/>
        <v>24348</v>
      </c>
      <c r="DS34" s="94">
        <f t="shared" ca="1" si="80"/>
        <v>23006</v>
      </c>
      <c r="DT34" s="94">
        <f t="shared" ca="1" si="80"/>
        <v>22053</v>
      </c>
      <c r="DU34" s="94">
        <f t="shared" ca="1" si="80"/>
        <v>19668</v>
      </c>
      <c r="DV34" s="94">
        <f t="shared" ca="1" si="81"/>
        <v>18671</v>
      </c>
      <c r="DW34" s="94">
        <f t="shared" ca="1" si="81"/>
        <v>18412</v>
      </c>
      <c r="DX34" s="94">
        <f t="shared" ca="1" si="81"/>
        <v>15894</v>
      </c>
      <c r="DY34" s="94">
        <f t="shared" ca="1" si="81"/>
        <v>14705</v>
      </c>
      <c r="DZ34" s="94">
        <f t="shared" ca="1" si="81"/>
        <v>13616</v>
      </c>
      <c r="EA34" s="94">
        <f t="shared" ca="1" si="81"/>
        <v>11725</v>
      </c>
      <c r="EB34" s="94">
        <f t="shared" ca="1" si="81"/>
        <v>10967</v>
      </c>
      <c r="EC34" s="94">
        <f t="shared" ca="1" si="81"/>
        <v>10471</v>
      </c>
      <c r="ED34" s="94">
        <f t="shared" ca="1" si="81"/>
        <v>12432</v>
      </c>
      <c r="EE34" s="94">
        <f t="shared" ca="1" si="81"/>
        <v>11813</v>
      </c>
      <c r="EF34" s="94">
        <f t="shared" ca="1" si="82"/>
        <v>11761</v>
      </c>
      <c r="EG34" s="94">
        <f t="shared" ca="1" si="82"/>
        <v>11163</v>
      </c>
      <c r="EH34" s="94">
        <f t="shared" ca="1" si="82"/>
        <v>10677</v>
      </c>
      <c r="EI34" s="94">
        <f t="shared" ca="1" si="82"/>
        <v>10384</v>
      </c>
      <c r="EJ34" s="94">
        <f t="shared" ca="1" si="82"/>
        <v>8972</v>
      </c>
      <c r="EK34" s="94">
        <f t="shared" ca="1" si="82"/>
        <v>8349</v>
      </c>
      <c r="EL34" s="94">
        <f t="shared" ca="1" si="82"/>
        <v>7609</v>
      </c>
    </row>
    <row r="35" spans="2:142" x14ac:dyDescent="0.3">
      <c r="B35" s="12"/>
      <c r="C35" s="113"/>
      <c r="D35" s="185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>
        <f>BO35</f>
        <v>0</v>
      </c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</row>
    <row r="36" spans="2:142" ht="14.4" thickBot="1" x14ac:dyDescent="0.35">
      <c r="B36" s="40" t="s">
        <v>80</v>
      </c>
      <c r="C36" s="40" t="s">
        <v>398</v>
      </c>
      <c r="D36" s="181" t="str">
        <f>IF(Menu!$D$12="PT",'Dados Financeiros'!B36,'Dados Financeiros'!C36)</f>
        <v>Total do ativo</v>
      </c>
      <c r="E36" s="20">
        <f t="shared" ref="E36:AJ36" si="83">E31+E20+E9</f>
        <v>1096514</v>
      </c>
      <c r="F36" s="20">
        <f t="shared" si="83"/>
        <v>1000575</v>
      </c>
      <c r="G36" s="20">
        <f t="shared" si="83"/>
        <v>1058025</v>
      </c>
      <c r="H36" s="20">
        <f t="shared" si="83"/>
        <v>1121938</v>
      </c>
      <c r="I36" s="20">
        <f t="shared" si="83"/>
        <v>1210697</v>
      </c>
      <c r="J36" s="20">
        <f t="shared" si="83"/>
        <v>1318539</v>
      </c>
      <c r="K36" s="20">
        <f t="shared" si="83"/>
        <v>1381055</v>
      </c>
      <c r="L36" s="20">
        <f t="shared" si="83"/>
        <v>1455345</v>
      </c>
      <c r="M36" s="20">
        <f t="shared" si="83"/>
        <v>1574661</v>
      </c>
      <c r="N36" s="20">
        <f t="shared" si="83"/>
        <v>1635990</v>
      </c>
      <c r="O36" s="20">
        <f t="shared" si="83"/>
        <v>1752067</v>
      </c>
      <c r="P36" s="20">
        <f t="shared" si="83"/>
        <v>2248435</v>
      </c>
      <c r="Q36" s="20">
        <f t="shared" si="83"/>
        <v>2367684</v>
      </c>
      <c r="R36" s="20">
        <f t="shared" si="83"/>
        <v>2526374</v>
      </c>
      <c r="S36" s="20">
        <f t="shared" si="83"/>
        <v>2985618</v>
      </c>
      <c r="T36" s="20">
        <f t="shared" si="83"/>
        <v>3135070</v>
      </c>
      <c r="U36" s="20">
        <f t="shared" si="83"/>
        <v>3647665</v>
      </c>
      <c r="V36" s="20">
        <f t="shared" si="83"/>
        <v>3560326</v>
      </c>
      <c r="W36" s="20">
        <f t="shared" si="83"/>
        <v>3906550</v>
      </c>
      <c r="X36" s="20">
        <f t="shared" si="83"/>
        <v>3943761</v>
      </c>
      <c r="Y36" s="20">
        <f t="shared" si="83"/>
        <v>3995193</v>
      </c>
      <c r="Z36" s="20">
        <f t="shared" si="83"/>
        <v>3729490</v>
      </c>
      <c r="AA36" s="20">
        <f t="shared" si="83"/>
        <v>4108591</v>
      </c>
      <c r="AB36" s="20">
        <f t="shared" si="83"/>
        <v>3855099</v>
      </c>
      <c r="AC36" s="20">
        <f t="shared" si="83"/>
        <v>4185149</v>
      </c>
      <c r="AD36" s="20">
        <f t="shared" si="83"/>
        <v>3966672</v>
      </c>
      <c r="AE36" s="20">
        <f t="shared" si="83"/>
        <v>4167991</v>
      </c>
      <c r="AF36" s="20">
        <f t="shared" si="83"/>
        <v>3962095</v>
      </c>
      <c r="AG36" s="20">
        <f t="shared" si="83"/>
        <v>4336045</v>
      </c>
      <c r="AH36" s="20">
        <f t="shared" si="83"/>
        <v>4566611</v>
      </c>
      <c r="AI36" s="20">
        <f t="shared" si="83"/>
        <v>4723358</v>
      </c>
      <c r="AJ36" s="20">
        <f t="shared" si="83"/>
        <v>4690095</v>
      </c>
      <c r="AK36" s="20">
        <f t="shared" ref="AK36:BN36" si="84">AK31+AK20+AK9</f>
        <v>4908595</v>
      </c>
      <c r="AL36" s="20">
        <f t="shared" si="84"/>
        <v>5070961</v>
      </c>
      <c r="AM36" s="20">
        <f t="shared" si="84"/>
        <v>4932775</v>
      </c>
      <c r="AN36" s="20">
        <f t="shared" si="84"/>
        <v>4798379</v>
      </c>
      <c r="AO36" s="20">
        <f t="shared" si="84"/>
        <v>4879194</v>
      </c>
      <c r="AP36" s="20">
        <f t="shared" si="84"/>
        <v>4754103</v>
      </c>
      <c r="AQ36" s="20">
        <f t="shared" si="84"/>
        <v>4635421</v>
      </c>
      <c r="AR36" s="20">
        <f t="shared" si="84"/>
        <v>3712812</v>
      </c>
      <c r="AS36" s="20">
        <f t="shared" si="84"/>
        <v>3670805</v>
      </c>
      <c r="AT36" s="20">
        <f t="shared" si="84"/>
        <v>3613335</v>
      </c>
      <c r="AU36" s="20">
        <f t="shared" si="84"/>
        <v>3508156</v>
      </c>
      <c r="AV36" s="20">
        <f t="shared" si="84"/>
        <v>3128240</v>
      </c>
      <c r="AW36" s="20">
        <f t="shared" si="84"/>
        <v>2941591</v>
      </c>
      <c r="AX36" s="20">
        <f t="shared" si="84"/>
        <v>2744894</v>
      </c>
      <c r="AY36" s="20">
        <f t="shared" si="84"/>
        <v>2555619</v>
      </c>
      <c r="AZ36" s="20">
        <f t="shared" si="84"/>
        <v>2319137</v>
      </c>
      <c r="BA36" s="20">
        <f t="shared" si="84"/>
        <v>2240189</v>
      </c>
      <c r="BB36" s="20">
        <f t="shared" si="84"/>
        <v>2160893</v>
      </c>
      <c r="BC36" s="20">
        <f t="shared" si="84"/>
        <v>2042402</v>
      </c>
      <c r="BD36" s="20">
        <f t="shared" si="84"/>
        <v>1936500</v>
      </c>
      <c r="BE36" s="20">
        <f t="shared" si="84"/>
        <v>1864731</v>
      </c>
      <c r="BF36" s="20">
        <f t="shared" si="84"/>
        <v>1694354</v>
      </c>
      <c r="BG36" s="20">
        <f t="shared" si="84"/>
        <v>1893360</v>
      </c>
      <c r="BH36" s="20">
        <f t="shared" si="84"/>
        <v>1718538</v>
      </c>
      <c r="BI36" s="20">
        <f t="shared" si="84"/>
        <v>1617758</v>
      </c>
      <c r="BJ36" s="20">
        <f t="shared" si="84"/>
        <v>1621863</v>
      </c>
      <c r="BK36" s="20">
        <f t="shared" si="84"/>
        <v>1689063</v>
      </c>
      <c r="BL36" s="20">
        <f t="shared" si="84"/>
        <v>1743807</v>
      </c>
      <c r="BM36" s="20">
        <f t="shared" si="84"/>
        <v>1765197</v>
      </c>
      <c r="BN36" s="20">
        <f t="shared" si="84"/>
        <v>1598141</v>
      </c>
      <c r="BO36" s="20">
        <v>1564345</v>
      </c>
      <c r="BP36" s="20">
        <f t="shared" ref="BP36:BZ36" si="85">BP31+BP20+BP9</f>
        <v>1556408</v>
      </c>
      <c r="BQ36" s="20">
        <f t="shared" si="85"/>
        <v>1563632</v>
      </c>
      <c r="BR36" s="20">
        <f t="shared" si="85"/>
        <v>1538453</v>
      </c>
      <c r="BS36" s="20">
        <f t="shared" si="85"/>
        <v>1545028</v>
      </c>
      <c r="BT36" s="20">
        <f t="shared" si="85"/>
        <v>1607828</v>
      </c>
      <c r="BU36" s="20">
        <f t="shared" si="85"/>
        <v>1561413</v>
      </c>
      <c r="BV36" s="20">
        <f t="shared" si="85"/>
        <v>1567755</v>
      </c>
      <c r="BW36" s="20">
        <f t="shared" si="85"/>
        <v>1550292</v>
      </c>
      <c r="BX36" s="20">
        <f t="shared" si="85"/>
        <v>1527112</v>
      </c>
      <c r="BY36" s="20">
        <f t="shared" si="85"/>
        <v>1586572</v>
      </c>
      <c r="BZ36" s="20">
        <f t="shared" si="85"/>
        <v>1526075</v>
      </c>
      <c r="CA36" s="20">
        <f t="shared" ref="CA36:CB36" si="86">CA31+CA20+CA9</f>
        <v>1450086</v>
      </c>
      <c r="CB36" s="20">
        <f t="shared" si="86"/>
        <v>1339070</v>
      </c>
      <c r="CC36" s="20">
        <f t="shared" ref="CC36:CD36" si="87">CC31+CC20+CC9</f>
        <v>1255109</v>
      </c>
      <c r="CD36" s="20">
        <f t="shared" si="87"/>
        <v>1147146</v>
      </c>
      <c r="CE36" s="20">
        <f t="shared" ref="CE36:CF36" si="88">CE31+CE20+CE9</f>
        <v>1099015</v>
      </c>
      <c r="CF36" s="20">
        <f t="shared" si="88"/>
        <v>1197783</v>
      </c>
      <c r="CH36" s="20">
        <f t="shared" ref="CH36:DM36" ca="1" si="89">CH31+CH20+CH9</f>
        <v>1000575</v>
      </c>
      <c r="CI36" s="20">
        <f t="shared" ca="1" si="89"/>
        <v>1058025</v>
      </c>
      <c r="CJ36" s="20">
        <f t="shared" ca="1" si="89"/>
        <v>1121938</v>
      </c>
      <c r="CK36" s="20">
        <f t="shared" ca="1" si="89"/>
        <v>1318539</v>
      </c>
      <c r="CL36" s="20">
        <f t="shared" ca="1" si="89"/>
        <v>1381055</v>
      </c>
      <c r="CM36" s="20">
        <f t="shared" ca="1" si="89"/>
        <v>1455345</v>
      </c>
      <c r="CN36" s="20">
        <f t="shared" ca="1" si="89"/>
        <v>1635990</v>
      </c>
      <c r="CO36" s="20">
        <f t="shared" ca="1" si="89"/>
        <v>1752067</v>
      </c>
      <c r="CP36" s="20">
        <f t="shared" ca="1" si="89"/>
        <v>2248435</v>
      </c>
      <c r="CQ36" s="20">
        <f t="shared" ca="1" si="89"/>
        <v>2526374</v>
      </c>
      <c r="CR36" s="20">
        <f t="shared" ca="1" si="89"/>
        <v>2985618</v>
      </c>
      <c r="CS36" s="20">
        <f t="shared" ca="1" si="89"/>
        <v>3135070</v>
      </c>
      <c r="CT36" s="20">
        <f t="shared" ca="1" si="89"/>
        <v>3560326</v>
      </c>
      <c r="CU36" s="20">
        <f t="shared" ca="1" si="89"/>
        <v>3906550</v>
      </c>
      <c r="CV36" s="20">
        <f t="shared" ca="1" si="89"/>
        <v>3943761</v>
      </c>
      <c r="CW36" s="20">
        <f t="shared" ca="1" si="89"/>
        <v>3855099</v>
      </c>
      <c r="CX36" s="20">
        <f t="shared" ca="1" si="89"/>
        <v>3966672</v>
      </c>
      <c r="CY36" s="20">
        <f t="shared" ca="1" si="89"/>
        <v>3962095</v>
      </c>
      <c r="CZ36" s="20">
        <f t="shared" ca="1" si="89"/>
        <v>4566611</v>
      </c>
      <c r="DA36" s="20">
        <f t="shared" ca="1" si="89"/>
        <v>4723358</v>
      </c>
      <c r="DB36" s="20">
        <f t="shared" ca="1" si="89"/>
        <v>4690095</v>
      </c>
      <c r="DC36" s="20">
        <f t="shared" ca="1" si="89"/>
        <v>5070961</v>
      </c>
      <c r="DD36" s="20">
        <f t="shared" ca="1" si="89"/>
        <v>4932775</v>
      </c>
      <c r="DE36" s="20">
        <f t="shared" ca="1" si="89"/>
        <v>4798379</v>
      </c>
      <c r="DF36" s="20">
        <f t="shared" ca="1" si="89"/>
        <v>4754103</v>
      </c>
      <c r="DG36" s="20">
        <f t="shared" ca="1" si="89"/>
        <v>4635421</v>
      </c>
      <c r="DH36" s="20">
        <f t="shared" ca="1" si="89"/>
        <v>3712812</v>
      </c>
      <c r="DI36" s="20">
        <f t="shared" ca="1" si="89"/>
        <v>3613335</v>
      </c>
      <c r="DJ36" s="20">
        <f t="shared" ca="1" si="89"/>
        <v>3508156</v>
      </c>
      <c r="DK36" s="20">
        <f t="shared" ca="1" si="89"/>
        <v>3128240</v>
      </c>
      <c r="DL36" s="20">
        <f t="shared" ca="1" si="89"/>
        <v>2744894</v>
      </c>
      <c r="DM36" s="20">
        <f t="shared" ca="1" si="89"/>
        <v>2555619</v>
      </c>
      <c r="DN36" s="20">
        <f t="shared" ref="DN36:EH36" ca="1" si="90">DN31+DN20+DN9</f>
        <v>2319137</v>
      </c>
      <c r="DO36" s="20">
        <f t="shared" ca="1" si="90"/>
        <v>2160893</v>
      </c>
      <c r="DP36" s="20">
        <f t="shared" ca="1" si="90"/>
        <v>2042402</v>
      </c>
      <c r="DQ36" s="20">
        <f t="shared" ca="1" si="90"/>
        <v>1936500</v>
      </c>
      <c r="DR36" s="20">
        <f t="shared" ca="1" si="90"/>
        <v>1694354</v>
      </c>
      <c r="DS36" s="20">
        <f t="shared" ca="1" si="90"/>
        <v>1893360</v>
      </c>
      <c r="DT36" s="20">
        <f t="shared" ca="1" si="90"/>
        <v>1718538</v>
      </c>
      <c r="DU36" s="20">
        <f t="shared" ca="1" si="90"/>
        <v>1621863</v>
      </c>
      <c r="DV36" s="20">
        <f t="shared" ca="1" si="90"/>
        <v>1689063</v>
      </c>
      <c r="DW36" s="20">
        <f t="shared" ca="1" si="90"/>
        <v>1743807</v>
      </c>
      <c r="DX36" s="20">
        <f t="shared" ca="1" si="90"/>
        <v>1598141</v>
      </c>
      <c r="DY36" s="20">
        <f t="shared" ca="1" si="90"/>
        <v>1564345</v>
      </c>
      <c r="DZ36" s="20">
        <f t="shared" ca="1" si="90"/>
        <v>1556408</v>
      </c>
      <c r="EA36" s="20">
        <f t="shared" ca="1" si="90"/>
        <v>1538453</v>
      </c>
      <c r="EB36" s="20">
        <f t="shared" ca="1" si="90"/>
        <v>1545028</v>
      </c>
      <c r="EC36" s="20">
        <f t="shared" ca="1" si="90"/>
        <v>1607828</v>
      </c>
      <c r="ED36" s="20">
        <f t="shared" ca="1" si="90"/>
        <v>1567755</v>
      </c>
      <c r="EE36" s="20">
        <f t="shared" ca="1" si="90"/>
        <v>1550292</v>
      </c>
      <c r="EF36" s="20">
        <f t="shared" ca="1" si="90"/>
        <v>1527112</v>
      </c>
      <c r="EG36" s="20">
        <f t="shared" ca="1" si="90"/>
        <v>1526075</v>
      </c>
      <c r="EH36" s="20">
        <f t="shared" ca="1" si="90"/>
        <v>1450086</v>
      </c>
      <c r="EI36" s="20">
        <f t="shared" ref="EI36:EK36" ca="1" si="91">EI31+EI20+EI9</f>
        <v>1339070</v>
      </c>
      <c r="EJ36" s="20">
        <f t="shared" ca="1" si="91"/>
        <v>1147146</v>
      </c>
      <c r="EK36" s="20">
        <f t="shared" ca="1" si="91"/>
        <v>1099015</v>
      </c>
      <c r="EL36" s="20">
        <f t="shared" ref="EL36" ca="1" si="92">EL31+EL20+EL9</f>
        <v>1084507</v>
      </c>
    </row>
    <row r="37" spans="2:142" x14ac:dyDescent="0.3">
      <c r="B37" s="12"/>
      <c r="C37" s="113"/>
      <c r="D37" s="186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</row>
    <row r="38" spans="2:142" ht="14.4" thickBot="1" x14ac:dyDescent="0.35">
      <c r="B38" s="56" t="s">
        <v>79</v>
      </c>
      <c r="C38" s="56" t="s">
        <v>399</v>
      </c>
      <c r="D38" s="174" t="str">
        <f>IF(Menu!$D$12="PT",'Dados Financeiros'!B38,'Dados Financeiros'!C38)</f>
        <v>Passivo</v>
      </c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</row>
    <row r="39" spans="2:142" x14ac:dyDescent="0.3">
      <c r="B39" s="25"/>
      <c r="C39" s="25"/>
      <c r="D39" s="185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</row>
    <row r="40" spans="2:142" ht="14.4" thickBot="1" x14ac:dyDescent="0.35">
      <c r="B40" s="40" t="s">
        <v>78</v>
      </c>
      <c r="C40" s="40" t="s">
        <v>400</v>
      </c>
      <c r="D40" s="181" t="str">
        <f>IF(Menu!$D$12="PT",'Dados Financeiros'!B40,'Dados Financeiros'!C40)</f>
        <v>Circulante</v>
      </c>
      <c r="E40" s="20">
        <f t="shared" ref="E40:AJ40" si="93">SUM(E41:E55)</f>
        <v>227373</v>
      </c>
      <c r="F40" s="20">
        <f t="shared" si="93"/>
        <v>108843</v>
      </c>
      <c r="G40" s="20">
        <f t="shared" si="93"/>
        <v>125899</v>
      </c>
      <c r="H40" s="20">
        <f t="shared" si="93"/>
        <v>195271</v>
      </c>
      <c r="I40" s="20">
        <f t="shared" si="93"/>
        <v>180374</v>
      </c>
      <c r="J40" s="20">
        <f t="shared" si="93"/>
        <v>185819</v>
      </c>
      <c r="K40" s="20">
        <f t="shared" si="93"/>
        <v>213963</v>
      </c>
      <c r="L40" s="20">
        <f t="shared" si="93"/>
        <v>259228</v>
      </c>
      <c r="M40" s="20">
        <f t="shared" si="93"/>
        <v>333086</v>
      </c>
      <c r="N40" s="20">
        <f t="shared" si="93"/>
        <v>354219</v>
      </c>
      <c r="O40" s="20">
        <f t="shared" si="93"/>
        <v>449135</v>
      </c>
      <c r="P40" s="20">
        <f t="shared" si="93"/>
        <v>626590</v>
      </c>
      <c r="Q40" s="20">
        <f t="shared" si="93"/>
        <v>583490</v>
      </c>
      <c r="R40" s="20">
        <f t="shared" si="93"/>
        <v>779236</v>
      </c>
      <c r="S40" s="20">
        <f t="shared" si="93"/>
        <v>1005700</v>
      </c>
      <c r="T40" s="20">
        <f t="shared" si="93"/>
        <v>856221</v>
      </c>
      <c r="U40" s="20">
        <f t="shared" si="93"/>
        <v>1029619</v>
      </c>
      <c r="V40" s="20">
        <f t="shared" si="93"/>
        <v>1043172</v>
      </c>
      <c r="W40" s="20">
        <f t="shared" si="93"/>
        <v>1125291</v>
      </c>
      <c r="X40" s="20">
        <f t="shared" si="93"/>
        <v>1066987</v>
      </c>
      <c r="Y40" s="20">
        <f t="shared" si="93"/>
        <v>1027034</v>
      </c>
      <c r="Z40" s="20">
        <f t="shared" si="93"/>
        <v>855633</v>
      </c>
      <c r="AA40" s="20">
        <f t="shared" si="93"/>
        <v>1085918</v>
      </c>
      <c r="AB40" s="20">
        <f t="shared" si="93"/>
        <v>937782</v>
      </c>
      <c r="AC40" s="20">
        <f t="shared" si="93"/>
        <v>1247281</v>
      </c>
      <c r="AD40" s="20">
        <f t="shared" si="93"/>
        <v>1151600</v>
      </c>
      <c r="AE40" s="20">
        <f t="shared" si="93"/>
        <v>1407416</v>
      </c>
      <c r="AF40" s="20">
        <f t="shared" si="93"/>
        <v>1256796</v>
      </c>
      <c r="AG40" s="20">
        <f t="shared" si="93"/>
        <v>1296110</v>
      </c>
      <c r="AH40" s="20">
        <f t="shared" si="93"/>
        <v>1221911</v>
      </c>
      <c r="AI40" s="20">
        <f t="shared" si="93"/>
        <v>1625812</v>
      </c>
      <c r="AJ40" s="20">
        <f t="shared" si="93"/>
        <v>1620124</v>
      </c>
      <c r="AK40" s="20">
        <f t="shared" ref="AK40:BC40" si="94">SUM(AK41:AK55)</f>
        <v>1862230</v>
      </c>
      <c r="AL40" s="20">
        <f t="shared" si="94"/>
        <v>1859573</v>
      </c>
      <c r="AM40" s="20">
        <f t="shared" si="94"/>
        <v>1733234</v>
      </c>
      <c r="AN40" s="20">
        <f t="shared" si="94"/>
        <v>1833577</v>
      </c>
      <c r="AO40" s="20">
        <f t="shared" si="94"/>
        <v>1921648</v>
      </c>
      <c r="AP40" s="20">
        <f t="shared" si="94"/>
        <v>1547415</v>
      </c>
      <c r="AQ40" s="20">
        <f t="shared" si="94"/>
        <v>1723744</v>
      </c>
      <c r="AR40" s="20">
        <f t="shared" si="94"/>
        <v>1258696</v>
      </c>
      <c r="AS40" s="20">
        <f t="shared" si="94"/>
        <v>1223046</v>
      </c>
      <c r="AT40" s="20">
        <f t="shared" si="94"/>
        <v>1306732</v>
      </c>
      <c r="AU40" s="20">
        <f t="shared" si="94"/>
        <v>1224890</v>
      </c>
      <c r="AV40" s="20">
        <f t="shared" si="94"/>
        <v>1052165</v>
      </c>
      <c r="AW40" s="20">
        <f t="shared" si="94"/>
        <v>1049307</v>
      </c>
      <c r="AX40" s="20">
        <f t="shared" si="94"/>
        <v>787521</v>
      </c>
      <c r="AY40" s="20">
        <f t="shared" si="94"/>
        <v>687672</v>
      </c>
      <c r="AZ40" s="20">
        <f t="shared" si="94"/>
        <v>599545</v>
      </c>
      <c r="BA40" s="20">
        <f t="shared" si="94"/>
        <v>569328</v>
      </c>
      <c r="BB40" s="20">
        <f t="shared" ref="BB40" si="95">SUM(BB41:BB55)</f>
        <v>564508</v>
      </c>
      <c r="BC40" s="20">
        <f t="shared" si="94"/>
        <v>567744</v>
      </c>
      <c r="BD40" s="20">
        <f t="shared" ref="BD40:BE40" si="96">SUM(BD41:BD55)</f>
        <v>528930</v>
      </c>
      <c r="BE40" s="20">
        <f t="shared" si="96"/>
        <v>515194</v>
      </c>
      <c r="BF40" s="20">
        <f t="shared" ref="BF40:BG40" si="97">SUM(BF41:BF55)</f>
        <v>537593</v>
      </c>
      <c r="BG40" s="20">
        <f t="shared" si="97"/>
        <v>468607</v>
      </c>
      <c r="BH40" s="20">
        <f t="shared" ref="BH40:BN40" si="98">SUM(BH41:BH55)</f>
        <v>351773</v>
      </c>
      <c r="BI40" s="20">
        <f t="shared" si="98"/>
        <v>328514</v>
      </c>
      <c r="BJ40" s="20">
        <f t="shared" si="98"/>
        <v>316878</v>
      </c>
      <c r="BK40" s="20">
        <f t="shared" si="98"/>
        <v>332087</v>
      </c>
      <c r="BL40" s="20">
        <f t="shared" si="98"/>
        <v>299867</v>
      </c>
      <c r="BM40" s="20">
        <f t="shared" si="98"/>
        <v>319518</v>
      </c>
      <c r="BN40" s="20">
        <f t="shared" si="98"/>
        <v>241377</v>
      </c>
      <c r="BO40" s="20">
        <v>251640</v>
      </c>
      <c r="BP40" s="20">
        <f t="shared" ref="BP40:BS40" si="99">SUM(BP41:BP55)</f>
        <v>244539</v>
      </c>
      <c r="BQ40" s="20">
        <f t="shared" si="99"/>
        <v>251899</v>
      </c>
      <c r="BR40" s="20">
        <f t="shared" si="99"/>
        <v>236740</v>
      </c>
      <c r="BS40" s="20">
        <f t="shared" si="99"/>
        <v>254894</v>
      </c>
      <c r="BT40" s="20">
        <f t="shared" ref="BT40:BW40" si="100">SUM(BT41:BT55)</f>
        <v>236788</v>
      </c>
      <c r="BU40" s="20">
        <f t="shared" si="100"/>
        <v>237879</v>
      </c>
      <c r="BV40" s="20">
        <f t="shared" si="100"/>
        <v>234925</v>
      </c>
      <c r="BW40" s="20">
        <f t="shared" si="100"/>
        <v>269256</v>
      </c>
      <c r="BX40" s="20">
        <f t="shared" ref="BX40:BY40" si="101">SUM(BX41:BX55)</f>
        <v>388614</v>
      </c>
      <c r="BY40" s="20">
        <f t="shared" si="101"/>
        <v>377998</v>
      </c>
      <c r="BZ40" s="20">
        <f t="shared" ref="BZ40:CB40" si="102">SUM(BZ41:BZ55)</f>
        <v>391078</v>
      </c>
      <c r="CA40" s="20">
        <f t="shared" si="102"/>
        <v>400956</v>
      </c>
      <c r="CB40" s="20">
        <f t="shared" si="102"/>
        <v>405752</v>
      </c>
      <c r="CC40" s="20">
        <f t="shared" ref="CC40:CD40" si="103">SUM(CC41:CC55)</f>
        <v>419366</v>
      </c>
      <c r="CD40" s="20">
        <f t="shared" si="103"/>
        <v>736304</v>
      </c>
      <c r="CE40" s="20">
        <f t="shared" ref="CE40:CF40" si="104">SUM(CE41:CE55)</f>
        <v>386765</v>
      </c>
      <c r="CF40" s="20">
        <f t="shared" si="104"/>
        <v>342557</v>
      </c>
      <c r="CH40" s="20">
        <f t="shared" ref="CH40:DR40" ca="1" si="105">SUM(CH41:CH55)</f>
        <v>108843</v>
      </c>
      <c r="CI40" s="20">
        <f t="shared" ca="1" si="105"/>
        <v>125899</v>
      </c>
      <c r="CJ40" s="20">
        <f t="shared" ca="1" si="105"/>
        <v>195271</v>
      </c>
      <c r="CK40" s="20">
        <f t="shared" ca="1" si="105"/>
        <v>185819</v>
      </c>
      <c r="CL40" s="20">
        <f t="shared" ca="1" si="105"/>
        <v>213963</v>
      </c>
      <c r="CM40" s="20">
        <f t="shared" ca="1" si="105"/>
        <v>259228</v>
      </c>
      <c r="CN40" s="20">
        <f t="shared" ca="1" si="105"/>
        <v>354219</v>
      </c>
      <c r="CO40" s="20">
        <f t="shared" ca="1" si="105"/>
        <v>449135</v>
      </c>
      <c r="CP40" s="20">
        <f t="shared" ca="1" si="105"/>
        <v>626590</v>
      </c>
      <c r="CQ40" s="20">
        <f t="shared" ca="1" si="105"/>
        <v>779236</v>
      </c>
      <c r="CR40" s="20">
        <f t="shared" ca="1" si="105"/>
        <v>1005700</v>
      </c>
      <c r="CS40" s="20">
        <f t="shared" ca="1" si="105"/>
        <v>856221</v>
      </c>
      <c r="CT40" s="20">
        <f t="shared" ca="1" si="105"/>
        <v>1043172</v>
      </c>
      <c r="CU40" s="20">
        <f t="shared" ca="1" si="105"/>
        <v>1125291</v>
      </c>
      <c r="CV40" s="20">
        <f t="shared" ca="1" si="105"/>
        <v>1066987</v>
      </c>
      <c r="CW40" s="20">
        <f t="shared" ca="1" si="105"/>
        <v>937782</v>
      </c>
      <c r="CX40" s="20">
        <f t="shared" ca="1" si="105"/>
        <v>1151600</v>
      </c>
      <c r="CY40" s="20">
        <f t="shared" ca="1" si="105"/>
        <v>1256796</v>
      </c>
      <c r="CZ40" s="20">
        <f t="shared" ca="1" si="105"/>
        <v>1221911</v>
      </c>
      <c r="DA40" s="20">
        <f t="shared" ca="1" si="105"/>
        <v>1625812</v>
      </c>
      <c r="DB40" s="20">
        <f t="shared" ca="1" si="105"/>
        <v>1620124</v>
      </c>
      <c r="DC40" s="20">
        <f t="shared" ca="1" si="105"/>
        <v>1859573</v>
      </c>
      <c r="DD40" s="20">
        <f t="shared" ca="1" si="105"/>
        <v>1733234</v>
      </c>
      <c r="DE40" s="20">
        <f t="shared" ca="1" si="105"/>
        <v>1833577</v>
      </c>
      <c r="DF40" s="20">
        <f t="shared" ca="1" si="105"/>
        <v>1547415</v>
      </c>
      <c r="DG40" s="20">
        <f t="shared" ca="1" si="105"/>
        <v>1723744</v>
      </c>
      <c r="DH40" s="20">
        <f t="shared" ca="1" si="105"/>
        <v>1258696</v>
      </c>
      <c r="DI40" s="20">
        <f t="shared" ca="1" si="105"/>
        <v>1306732</v>
      </c>
      <c r="DJ40" s="20">
        <f t="shared" ca="1" si="105"/>
        <v>1224890</v>
      </c>
      <c r="DK40" s="20">
        <f t="shared" ca="1" si="105"/>
        <v>1052165</v>
      </c>
      <c r="DL40" s="20">
        <f t="shared" ca="1" si="105"/>
        <v>787521</v>
      </c>
      <c r="DM40" s="20">
        <f t="shared" ca="1" si="105"/>
        <v>687672</v>
      </c>
      <c r="DN40" s="20">
        <f t="shared" ca="1" si="105"/>
        <v>599545</v>
      </c>
      <c r="DO40" s="20">
        <f t="shared" ca="1" si="105"/>
        <v>564508</v>
      </c>
      <c r="DP40" s="20">
        <f t="shared" ca="1" si="105"/>
        <v>567744</v>
      </c>
      <c r="DQ40" s="20">
        <f t="shared" ca="1" si="105"/>
        <v>528930</v>
      </c>
      <c r="DR40" s="20">
        <f t="shared" ca="1" si="105"/>
        <v>537593</v>
      </c>
      <c r="DS40" s="20">
        <f t="shared" ref="DS40:DU40" ca="1" si="106">SUM(DS41:DS55)</f>
        <v>468607</v>
      </c>
      <c r="DT40" s="20">
        <f t="shared" ca="1" si="106"/>
        <v>351773</v>
      </c>
      <c r="DU40" s="20">
        <f t="shared" ca="1" si="106"/>
        <v>316878</v>
      </c>
      <c r="DV40" s="20">
        <f t="shared" ref="DV40:DY40" ca="1" si="107">SUM(DV41:DV55)</f>
        <v>332087</v>
      </c>
      <c r="DW40" s="20">
        <f t="shared" ca="1" si="107"/>
        <v>299867</v>
      </c>
      <c r="DX40" s="20">
        <f t="shared" ca="1" si="107"/>
        <v>241377</v>
      </c>
      <c r="DY40" s="20">
        <f t="shared" ca="1" si="107"/>
        <v>251640</v>
      </c>
      <c r="DZ40" s="20">
        <f t="shared" ref="DZ40:EB40" ca="1" si="108">SUM(DZ41:DZ55)</f>
        <v>244539</v>
      </c>
      <c r="EA40" s="20">
        <f t="shared" ca="1" si="108"/>
        <v>236740</v>
      </c>
      <c r="EB40" s="20">
        <f t="shared" ca="1" si="108"/>
        <v>254894</v>
      </c>
      <c r="EC40" s="20">
        <f t="shared" ref="EC40:EF40" ca="1" si="109">SUM(EC41:EC55)</f>
        <v>236788</v>
      </c>
      <c r="ED40" s="20">
        <f t="shared" ca="1" si="109"/>
        <v>234925</v>
      </c>
      <c r="EE40" s="20">
        <f t="shared" ca="1" si="109"/>
        <v>269256</v>
      </c>
      <c r="EF40" s="20">
        <f t="shared" ca="1" si="109"/>
        <v>388614</v>
      </c>
      <c r="EG40" s="20">
        <f t="shared" ref="EG40:EH40" ca="1" si="110">SUM(EG41:EG55)</f>
        <v>391078</v>
      </c>
      <c r="EH40" s="20">
        <f t="shared" ca="1" si="110"/>
        <v>400956</v>
      </c>
      <c r="EI40" s="20">
        <f t="shared" ref="EI40:EK40" ca="1" si="111">SUM(EI41:EI55)</f>
        <v>405752</v>
      </c>
      <c r="EJ40" s="20">
        <f t="shared" ca="1" si="111"/>
        <v>736304</v>
      </c>
      <c r="EK40" s="20">
        <f t="shared" ca="1" si="111"/>
        <v>386765</v>
      </c>
      <c r="EL40" s="20">
        <f t="shared" ref="EL40" ca="1" si="112">SUM(EL41:EL55)</f>
        <v>342557</v>
      </c>
    </row>
    <row r="41" spans="2:142" x14ac:dyDescent="0.3">
      <c r="B41" s="137" t="s">
        <v>569</v>
      </c>
      <c r="C41" s="111" t="s">
        <v>401</v>
      </c>
      <c r="D41" s="183" t="str">
        <f>IF(Menu!$D$12="PT",'Dados Financeiros'!B41,'Dados Financeiros'!C41)</f>
        <v>Empréstimos e financiamentos - CP</v>
      </c>
      <c r="E41" s="4">
        <v>23408</v>
      </c>
      <c r="F41" s="4">
        <v>24922</v>
      </c>
      <c r="G41" s="4">
        <v>47374</v>
      </c>
      <c r="H41" s="4">
        <v>58869</v>
      </c>
      <c r="I41" s="4">
        <v>75802</v>
      </c>
      <c r="J41" s="4">
        <v>85806</v>
      </c>
      <c r="K41" s="4">
        <v>102277</v>
      </c>
      <c r="L41" s="4">
        <v>108270</v>
      </c>
      <c r="M41" s="4">
        <v>161846</v>
      </c>
      <c r="N41" s="4">
        <v>207042</v>
      </c>
      <c r="O41" s="4">
        <v>283720</v>
      </c>
      <c r="P41" s="4">
        <v>373454</v>
      </c>
      <c r="Q41" s="4">
        <v>348947</v>
      </c>
      <c r="R41" s="4">
        <v>501861</v>
      </c>
      <c r="S41" s="4">
        <v>560094</v>
      </c>
      <c r="T41" s="4">
        <v>497396</v>
      </c>
      <c r="U41" s="4">
        <v>624295</v>
      </c>
      <c r="V41" s="4">
        <f>537684+94800</f>
        <v>632484</v>
      </c>
      <c r="W41" s="4">
        <v>661114</v>
      </c>
      <c r="X41" s="4">
        <v>583040</v>
      </c>
      <c r="Y41" s="4">
        <v>546924</v>
      </c>
      <c r="Z41" s="4">
        <v>420616</v>
      </c>
      <c r="AA41" s="4">
        <v>587033</v>
      </c>
      <c r="AB41" s="4">
        <v>489653</v>
      </c>
      <c r="AC41" s="4">
        <v>711541</v>
      </c>
      <c r="AD41" s="4">
        <v>659200</v>
      </c>
      <c r="AE41" s="4">
        <v>845688</v>
      </c>
      <c r="AF41" s="4">
        <v>722394</v>
      </c>
      <c r="AG41" s="4">
        <v>693738</v>
      </c>
      <c r="AH41" s="4">
        <v>639003</v>
      </c>
      <c r="AI41" s="4">
        <v>945076</v>
      </c>
      <c r="AJ41" s="4">
        <v>978727</v>
      </c>
      <c r="AK41" s="4">
        <v>1149458</v>
      </c>
      <c r="AL41" s="4">
        <v>1246019</v>
      </c>
      <c r="AM41" s="4">
        <v>1139133</v>
      </c>
      <c r="AN41" s="4">
        <v>1257258</v>
      </c>
      <c r="AO41" s="4">
        <v>1347199</v>
      </c>
      <c r="AP41" s="4">
        <v>973510</v>
      </c>
      <c r="AQ41" s="4">
        <v>1198749</v>
      </c>
      <c r="AR41" s="4">
        <v>787052</v>
      </c>
      <c r="AS41" s="4">
        <v>782356</v>
      </c>
      <c r="AT41" s="4">
        <v>836308</v>
      </c>
      <c r="AU41" s="4">
        <v>760619</v>
      </c>
      <c r="AV41" s="4">
        <v>675488</v>
      </c>
      <c r="AW41" s="4">
        <v>663446</v>
      </c>
      <c r="AX41" s="4">
        <v>410118</v>
      </c>
      <c r="AY41" s="4">
        <v>326109</v>
      </c>
      <c r="AZ41" s="4">
        <v>248182</v>
      </c>
      <c r="BA41" s="94">
        <v>193792</v>
      </c>
      <c r="BB41" s="4">
        <v>199900</v>
      </c>
      <c r="BC41" s="4">
        <v>189172</v>
      </c>
      <c r="BD41" s="4">
        <v>173807</v>
      </c>
      <c r="BE41" s="4">
        <v>170368</v>
      </c>
      <c r="BF41" s="4">
        <v>193150</v>
      </c>
      <c r="BG41" s="4">
        <v>153941</v>
      </c>
      <c r="BH41" s="4">
        <v>110963</v>
      </c>
      <c r="BI41" s="4">
        <v>83253</v>
      </c>
      <c r="BJ41" s="4">
        <v>57548</v>
      </c>
      <c r="BK41" s="4">
        <v>58608</v>
      </c>
      <c r="BL41" s="4">
        <v>51568</v>
      </c>
      <c r="BM41" s="4">
        <v>44678</v>
      </c>
      <c r="BN41" s="4">
        <v>41864</v>
      </c>
      <c r="BO41" s="4">
        <v>41606</v>
      </c>
      <c r="BP41" s="4">
        <v>41881</v>
      </c>
      <c r="BQ41" s="4">
        <v>54468</v>
      </c>
      <c r="BR41" s="4">
        <v>49488</v>
      </c>
      <c r="BS41" s="4">
        <v>54547</v>
      </c>
      <c r="BT41" s="4">
        <v>51199</v>
      </c>
      <c r="BU41" s="4">
        <v>77124</v>
      </c>
      <c r="BV41" s="4">
        <v>89047</v>
      </c>
      <c r="BW41" s="4">
        <v>125250</v>
      </c>
      <c r="BX41" s="4">
        <v>226318</v>
      </c>
      <c r="BY41" s="4">
        <v>218757</v>
      </c>
      <c r="BZ41" s="4">
        <v>229420</v>
      </c>
      <c r="CA41" s="4">
        <v>217083</v>
      </c>
      <c r="CB41" s="4">
        <v>222060</v>
      </c>
      <c r="CC41" s="4">
        <v>207939</v>
      </c>
      <c r="CD41" s="4">
        <v>552390</v>
      </c>
      <c r="CE41" s="4">
        <v>222413</v>
      </c>
      <c r="CF41" s="4">
        <v>206148</v>
      </c>
      <c r="CH41" s="94">
        <f t="shared" ref="CH41:CQ55" ca="1" si="113">INDIRECT(ADDRESS(ROW(),MATCH(IF(LEFT(CH$2,2)="1S","2T",IF(LEFT(CH$2,2)="9M","3T","4T"))&amp;RIGHT(CH$2,2),$A$2:$CG$2,0)))</f>
        <v>24922</v>
      </c>
      <c r="CI41" s="94">
        <f t="shared" ca="1" si="113"/>
        <v>47374</v>
      </c>
      <c r="CJ41" s="94">
        <f t="shared" ca="1" si="113"/>
        <v>58869</v>
      </c>
      <c r="CK41" s="94">
        <f t="shared" ca="1" si="113"/>
        <v>85806</v>
      </c>
      <c r="CL41" s="94">
        <f t="shared" ca="1" si="113"/>
        <v>102277</v>
      </c>
      <c r="CM41" s="94">
        <f t="shared" ca="1" si="113"/>
        <v>108270</v>
      </c>
      <c r="CN41" s="94">
        <f t="shared" ca="1" si="113"/>
        <v>207042</v>
      </c>
      <c r="CO41" s="94">
        <f t="shared" ca="1" si="113"/>
        <v>283720</v>
      </c>
      <c r="CP41" s="94">
        <f t="shared" ca="1" si="113"/>
        <v>373454</v>
      </c>
      <c r="CQ41" s="94">
        <f t="shared" ca="1" si="113"/>
        <v>501861</v>
      </c>
      <c r="CR41" s="94">
        <f t="shared" ref="CR41:DA55" ca="1" si="114">INDIRECT(ADDRESS(ROW(),MATCH(IF(LEFT(CR$2,2)="1S","2T",IF(LEFT(CR$2,2)="9M","3T","4T"))&amp;RIGHT(CR$2,2),$A$2:$CG$2,0)))</f>
        <v>560094</v>
      </c>
      <c r="CS41" s="94">
        <f t="shared" ca="1" si="114"/>
        <v>497396</v>
      </c>
      <c r="CT41" s="94">
        <f t="shared" ca="1" si="114"/>
        <v>632484</v>
      </c>
      <c r="CU41" s="94">
        <f t="shared" ca="1" si="114"/>
        <v>661114</v>
      </c>
      <c r="CV41" s="94">
        <f t="shared" ca="1" si="114"/>
        <v>583040</v>
      </c>
      <c r="CW41" s="94">
        <f t="shared" ca="1" si="114"/>
        <v>489653</v>
      </c>
      <c r="CX41" s="94">
        <f t="shared" ca="1" si="114"/>
        <v>659200</v>
      </c>
      <c r="CY41" s="94">
        <f t="shared" ca="1" si="114"/>
        <v>722394</v>
      </c>
      <c r="CZ41" s="94">
        <f t="shared" ca="1" si="114"/>
        <v>639003</v>
      </c>
      <c r="DA41" s="94">
        <f t="shared" ca="1" si="114"/>
        <v>945076</v>
      </c>
      <c r="DB41" s="94">
        <f t="shared" ref="DB41:DK55" ca="1" si="115">INDIRECT(ADDRESS(ROW(),MATCH(IF(LEFT(DB$2,2)="1S","2T",IF(LEFT(DB$2,2)="9M","3T","4T"))&amp;RIGHT(DB$2,2),$A$2:$CG$2,0)))</f>
        <v>978727</v>
      </c>
      <c r="DC41" s="94">
        <f t="shared" ca="1" si="115"/>
        <v>1246019</v>
      </c>
      <c r="DD41" s="94">
        <f t="shared" ca="1" si="115"/>
        <v>1139133</v>
      </c>
      <c r="DE41" s="94">
        <f t="shared" ca="1" si="115"/>
        <v>1257258</v>
      </c>
      <c r="DF41" s="94">
        <f t="shared" ca="1" si="115"/>
        <v>973510</v>
      </c>
      <c r="DG41" s="94">
        <f t="shared" ca="1" si="115"/>
        <v>1198749</v>
      </c>
      <c r="DH41" s="94">
        <f t="shared" ca="1" si="115"/>
        <v>787052</v>
      </c>
      <c r="DI41" s="94">
        <f t="shared" ca="1" si="115"/>
        <v>836308</v>
      </c>
      <c r="DJ41" s="94">
        <f t="shared" ca="1" si="115"/>
        <v>760619</v>
      </c>
      <c r="DK41" s="94">
        <f t="shared" ca="1" si="115"/>
        <v>675488</v>
      </c>
      <c r="DL41" s="94">
        <f t="shared" ref="DL41:DU55" ca="1" si="116">INDIRECT(ADDRESS(ROW(),MATCH(IF(LEFT(DL$2,2)="1S","2T",IF(LEFT(DL$2,2)="9M","3T","4T"))&amp;RIGHT(DL$2,2),$A$2:$CG$2,0)))</f>
        <v>410118</v>
      </c>
      <c r="DM41" s="94">
        <f t="shared" ca="1" si="116"/>
        <v>326109</v>
      </c>
      <c r="DN41" s="94">
        <f t="shared" ca="1" si="116"/>
        <v>248182</v>
      </c>
      <c r="DO41" s="94">
        <f t="shared" ca="1" si="116"/>
        <v>199900</v>
      </c>
      <c r="DP41" s="94">
        <f t="shared" ca="1" si="116"/>
        <v>189172</v>
      </c>
      <c r="DQ41" s="94">
        <f t="shared" ca="1" si="116"/>
        <v>173807</v>
      </c>
      <c r="DR41" s="94">
        <f t="shared" ca="1" si="116"/>
        <v>193150</v>
      </c>
      <c r="DS41" s="94">
        <f t="shared" ca="1" si="116"/>
        <v>153941</v>
      </c>
      <c r="DT41" s="94">
        <f t="shared" ca="1" si="116"/>
        <v>110963</v>
      </c>
      <c r="DU41" s="94">
        <f t="shared" ca="1" si="116"/>
        <v>57548</v>
      </c>
      <c r="DV41" s="94">
        <f t="shared" ref="DV41:EE55" ca="1" si="117">INDIRECT(ADDRESS(ROW(),MATCH(IF(LEFT(DV$2,2)="1S","2T",IF(LEFT(DV$2,2)="9M","3T","4T"))&amp;RIGHT(DV$2,2),$A$2:$CG$2,0)))</f>
        <v>58608</v>
      </c>
      <c r="DW41" s="94">
        <f t="shared" ca="1" si="117"/>
        <v>51568</v>
      </c>
      <c r="DX41" s="94">
        <f t="shared" ca="1" si="117"/>
        <v>41864</v>
      </c>
      <c r="DY41" s="94">
        <f t="shared" ca="1" si="117"/>
        <v>41606</v>
      </c>
      <c r="DZ41" s="94">
        <f t="shared" ca="1" si="117"/>
        <v>41881</v>
      </c>
      <c r="EA41" s="94">
        <f t="shared" ca="1" si="117"/>
        <v>49488</v>
      </c>
      <c r="EB41" s="94">
        <f t="shared" ca="1" si="117"/>
        <v>54547</v>
      </c>
      <c r="EC41" s="94">
        <f t="shared" ca="1" si="117"/>
        <v>51199</v>
      </c>
      <c r="ED41" s="94">
        <f t="shared" ca="1" si="117"/>
        <v>89047</v>
      </c>
      <c r="EE41" s="94">
        <f t="shared" ca="1" si="117"/>
        <v>125250</v>
      </c>
      <c r="EF41" s="94">
        <f t="shared" ref="EF41:EL55" ca="1" si="118">INDIRECT(ADDRESS(ROW(),MATCH(IF(LEFT(EF$2,2)="1S","2T",IF(LEFT(EF$2,2)="9M","3T","4T"))&amp;RIGHT(EF$2,2),$A$2:$CG$2,0)))</f>
        <v>226318</v>
      </c>
      <c r="EG41" s="94">
        <f t="shared" ca="1" si="118"/>
        <v>229420</v>
      </c>
      <c r="EH41" s="94">
        <f t="shared" ca="1" si="118"/>
        <v>217083</v>
      </c>
      <c r="EI41" s="94">
        <f t="shared" ca="1" si="118"/>
        <v>222060</v>
      </c>
      <c r="EJ41" s="94">
        <f t="shared" ca="1" si="118"/>
        <v>552390</v>
      </c>
      <c r="EK41" s="94">
        <f t="shared" ca="1" si="118"/>
        <v>222413</v>
      </c>
      <c r="EL41" s="94">
        <f t="shared" ca="1" si="118"/>
        <v>206148</v>
      </c>
    </row>
    <row r="42" spans="2:142" x14ac:dyDescent="0.3">
      <c r="B42" s="110" t="s">
        <v>77</v>
      </c>
      <c r="C42" s="110" t="s">
        <v>402</v>
      </c>
      <c r="D42" s="182" t="str">
        <f>IF(Menu!$D$12="PT",'Dados Financeiros'!B42,'Dados Financeiros'!C42)</f>
        <v>Fornecedores</v>
      </c>
      <c r="E42" s="32">
        <v>15425</v>
      </c>
      <c r="F42" s="32">
        <v>11027</v>
      </c>
      <c r="G42" s="32">
        <v>12633</v>
      </c>
      <c r="H42" s="32">
        <v>13287</v>
      </c>
      <c r="I42" s="32">
        <v>12641</v>
      </c>
      <c r="J42" s="32">
        <v>10630</v>
      </c>
      <c r="K42" s="32">
        <v>14836</v>
      </c>
      <c r="L42" s="32">
        <v>13283</v>
      </c>
      <c r="M42" s="32">
        <v>20963</v>
      </c>
      <c r="N42" s="32">
        <v>24104</v>
      </c>
      <c r="O42" s="32">
        <v>24277</v>
      </c>
      <c r="P42" s="32">
        <v>37841</v>
      </c>
      <c r="Q42" s="32">
        <v>45877</v>
      </c>
      <c r="R42" s="32">
        <v>54890</v>
      </c>
      <c r="S42" s="32">
        <v>54173</v>
      </c>
      <c r="T42" s="32">
        <v>51127</v>
      </c>
      <c r="U42" s="32">
        <v>54383</v>
      </c>
      <c r="V42" s="32">
        <v>42451</v>
      </c>
      <c r="W42" s="32">
        <v>68524</v>
      </c>
      <c r="X42" s="32">
        <v>61531</v>
      </c>
      <c r="Y42" s="32">
        <v>61457</v>
      </c>
      <c r="Z42" s="32">
        <v>51304</v>
      </c>
      <c r="AA42" s="32">
        <v>82821</v>
      </c>
      <c r="AB42" s="32">
        <v>70351</v>
      </c>
      <c r="AC42" s="32">
        <v>71914</v>
      </c>
      <c r="AD42" s="32">
        <v>62833</v>
      </c>
      <c r="AE42" s="32">
        <v>81040</v>
      </c>
      <c r="AF42" s="32">
        <v>70155</v>
      </c>
      <c r="AG42" s="32">
        <v>77269</v>
      </c>
      <c r="AH42" s="32">
        <v>85956</v>
      </c>
      <c r="AI42" s="32">
        <v>97029</v>
      </c>
      <c r="AJ42" s="32">
        <v>72870</v>
      </c>
      <c r="AK42" s="32">
        <v>83827</v>
      </c>
      <c r="AL42" s="32">
        <v>67356</v>
      </c>
      <c r="AM42" s="32">
        <v>71930</v>
      </c>
      <c r="AN42" s="32">
        <v>69067</v>
      </c>
      <c r="AO42" s="32">
        <v>75117</v>
      </c>
      <c r="AP42" s="32">
        <v>67980</v>
      </c>
      <c r="AQ42" s="4">
        <v>65140</v>
      </c>
      <c r="AR42" s="4">
        <v>33878</v>
      </c>
      <c r="AS42" s="4">
        <v>37874</v>
      </c>
      <c r="AT42" s="4">
        <v>33398</v>
      </c>
      <c r="AU42" s="4">
        <v>30964</v>
      </c>
      <c r="AV42" s="4">
        <v>22211</v>
      </c>
      <c r="AW42" s="4">
        <v>24753</v>
      </c>
      <c r="AX42" s="4">
        <v>26976</v>
      </c>
      <c r="AY42" s="4">
        <v>18001</v>
      </c>
      <c r="AZ42" s="4">
        <v>17754</v>
      </c>
      <c r="BA42" s="94">
        <v>16981</v>
      </c>
      <c r="BB42" s="4">
        <v>15369</v>
      </c>
      <c r="BC42" s="4">
        <v>17238</v>
      </c>
      <c r="BD42" s="4">
        <v>12379</v>
      </c>
      <c r="BE42" s="4">
        <v>10080</v>
      </c>
      <c r="BF42" s="4">
        <v>11182</v>
      </c>
      <c r="BG42" s="4">
        <v>10985</v>
      </c>
      <c r="BH42" s="4">
        <v>11761</v>
      </c>
      <c r="BI42" s="4">
        <v>8546</v>
      </c>
      <c r="BJ42" s="4">
        <v>7222</v>
      </c>
      <c r="BK42" s="4">
        <v>10816</v>
      </c>
      <c r="BL42" s="4">
        <v>8116</v>
      </c>
      <c r="BM42" s="4">
        <v>8777</v>
      </c>
      <c r="BN42" s="4">
        <v>7302</v>
      </c>
      <c r="BO42" s="4">
        <v>8677</v>
      </c>
      <c r="BP42" s="4">
        <v>9814</v>
      </c>
      <c r="BQ42" s="4">
        <v>3635</v>
      </c>
      <c r="BR42" s="4">
        <v>5776</v>
      </c>
      <c r="BS42" s="4">
        <v>6900</v>
      </c>
      <c r="BT42" s="4">
        <v>11763</v>
      </c>
      <c r="BU42" s="4">
        <v>12665</v>
      </c>
      <c r="BV42" s="4">
        <v>19870</v>
      </c>
      <c r="BW42" s="4">
        <v>20704</v>
      </c>
      <c r="BX42" s="4">
        <v>28538</v>
      </c>
      <c r="BY42" s="4">
        <v>24050</v>
      </c>
      <c r="BZ42" s="4">
        <v>16722</v>
      </c>
      <c r="CA42" s="4">
        <v>21892</v>
      </c>
      <c r="CB42" s="4">
        <v>15190</v>
      </c>
      <c r="CC42" s="4">
        <v>22961</v>
      </c>
      <c r="CD42" s="4">
        <v>13187</v>
      </c>
      <c r="CE42" s="4">
        <v>12154</v>
      </c>
      <c r="CF42" s="4">
        <v>12841</v>
      </c>
      <c r="CH42" s="94">
        <f t="shared" ca="1" si="113"/>
        <v>11027</v>
      </c>
      <c r="CI42" s="94">
        <f t="shared" ca="1" si="113"/>
        <v>12633</v>
      </c>
      <c r="CJ42" s="94">
        <f t="shared" ca="1" si="113"/>
        <v>13287</v>
      </c>
      <c r="CK42" s="94">
        <f t="shared" ca="1" si="113"/>
        <v>10630</v>
      </c>
      <c r="CL42" s="94">
        <f t="shared" ca="1" si="113"/>
        <v>14836</v>
      </c>
      <c r="CM42" s="94">
        <f t="shared" ca="1" si="113"/>
        <v>13283</v>
      </c>
      <c r="CN42" s="94">
        <f t="shared" ca="1" si="113"/>
        <v>24104</v>
      </c>
      <c r="CO42" s="94">
        <f t="shared" ca="1" si="113"/>
        <v>24277</v>
      </c>
      <c r="CP42" s="94">
        <f t="shared" ca="1" si="113"/>
        <v>37841</v>
      </c>
      <c r="CQ42" s="94">
        <f t="shared" ca="1" si="113"/>
        <v>54890</v>
      </c>
      <c r="CR42" s="94">
        <f t="shared" ca="1" si="114"/>
        <v>54173</v>
      </c>
      <c r="CS42" s="94">
        <f t="shared" ca="1" si="114"/>
        <v>51127</v>
      </c>
      <c r="CT42" s="94">
        <f t="shared" ca="1" si="114"/>
        <v>42451</v>
      </c>
      <c r="CU42" s="94">
        <f t="shared" ca="1" si="114"/>
        <v>68524</v>
      </c>
      <c r="CV42" s="94">
        <f t="shared" ca="1" si="114"/>
        <v>61531</v>
      </c>
      <c r="CW42" s="94">
        <f t="shared" ca="1" si="114"/>
        <v>70351</v>
      </c>
      <c r="CX42" s="94">
        <f t="shared" ca="1" si="114"/>
        <v>62833</v>
      </c>
      <c r="CY42" s="94">
        <f t="shared" ca="1" si="114"/>
        <v>70155</v>
      </c>
      <c r="CZ42" s="94">
        <f t="shared" ca="1" si="114"/>
        <v>85956</v>
      </c>
      <c r="DA42" s="94">
        <f t="shared" ca="1" si="114"/>
        <v>97029</v>
      </c>
      <c r="DB42" s="94">
        <f t="shared" ca="1" si="115"/>
        <v>72870</v>
      </c>
      <c r="DC42" s="94">
        <f t="shared" ca="1" si="115"/>
        <v>67356</v>
      </c>
      <c r="DD42" s="94">
        <f t="shared" ca="1" si="115"/>
        <v>71930</v>
      </c>
      <c r="DE42" s="94">
        <f t="shared" ca="1" si="115"/>
        <v>69067</v>
      </c>
      <c r="DF42" s="94">
        <f t="shared" ca="1" si="115"/>
        <v>67980</v>
      </c>
      <c r="DG42" s="94">
        <f t="shared" ca="1" si="115"/>
        <v>65140</v>
      </c>
      <c r="DH42" s="94">
        <f t="shared" ca="1" si="115"/>
        <v>33878</v>
      </c>
      <c r="DI42" s="94">
        <f t="shared" ca="1" si="115"/>
        <v>33398</v>
      </c>
      <c r="DJ42" s="94">
        <f t="shared" ca="1" si="115"/>
        <v>30964</v>
      </c>
      <c r="DK42" s="94">
        <f t="shared" ca="1" si="115"/>
        <v>22211</v>
      </c>
      <c r="DL42" s="94">
        <f t="shared" ca="1" si="116"/>
        <v>26976</v>
      </c>
      <c r="DM42" s="94">
        <f t="shared" ca="1" si="116"/>
        <v>18001</v>
      </c>
      <c r="DN42" s="94">
        <f t="shared" ca="1" si="116"/>
        <v>17754</v>
      </c>
      <c r="DO42" s="94">
        <f t="shared" ca="1" si="116"/>
        <v>15369</v>
      </c>
      <c r="DP42" s="94">
        <f t="shared" ca="1" si="116"/>
        <v>17238</v>
      </c>
      <c r="DQ42" s="94">
        <f t="shared" ca="1" si="116"/>
        <v>12379</v>
      </c>
      <c r="DR42" s="94">
        <f t="shared" ca="1" si="116"/>
        <v>11182</v>
      </c>
      <c r="DS42" s="94">
        <f t="shared" ca="1" si="116"/>
        <v>10985</v>
      </c>
      <c r="DT42" s="94">
        <f t="shared" ca="1" si="116"/>
        <v>11761</v>
      </c>
      <c r="DU42" s="94">
        <f t="shared" ca="1" si="116"/>
        <v>7222</v>
      </c>
      <c r="DV42" s="94">
        <f t="shared" ca="1" si="117"/>
        <v>10816</v>
      </c>
      <c r="DW42" s="94">
        <f t="shared" ca="1" si="117"/>
        <v>8116</v>
      </c>
      <c r="DX42" s="94">
        <f t="shared" ca="1" si="117"/>
        <v>7302</v>
      </c>
      <c r="DY42" s="94">
        <f t="shared" ca="1" si="117"/>
        <v>8677</v>
      </c>
      <c r="DZ42" s="94">
        <f t="shared" ca="1" si="117"/>
        <v>9814</v>
      </c>
      <c r="EA42" s="94">
        <f t="shared" ca="1" si="117"/>
        <v>5776</v>
      </c>
      <c r="EB42" s="94">
        <f t="shared" ca="1" si="117"/>
        <v>6900</v>
      </c>
      <c r="EC42" s="94">
        <f t="shared" ca="1" si="117"/>
        <v>11763</v>
      </c>
      <c r="ED42" s="94">
        <f t="shared" ca="1" si="117"/>
        <v>19870</v>
      </c>
      <c r="EE42" s="94">
        <f t="shared" ca="1" si="117"/>
        <v>20704</v>
      </c>
      <c r="EF42" s="94">
        <f t="shared" ca="1" si="118"/>
        <v>28538</v>
      </c>
      <c r="EG42" s="94">
        <f t="shared" ca="1" si="118"/>
        <v>16722</v>
      </c>
      <c r="EH42" s="94">
        <f t="shared" ca="1" si="118"/>
        <v>21892</v>
      </c>
      <c r="EI42" s="94">
        <f t="shared" ca="1" si="118"/>
        <v>15190</v>
      </c>
      <c r="EJ42" s="94">
        <f t="shared" ca="1" si="118"/>
        <v>13187</v>
      </c>
      <c r="EK42" s="94">
        <f t="shared" ca="1" si="118"/>
        <v>12154</v>
      </c>
      <c r="EL42" s="94">
        <f t="shared" ca="1" si="118"/>
        <v>12841</v>
      </c>
    </row>
    <row r="43" spans="2:142" x14ac:dyDescent="0.3">
      <c r="B43" s="110" t="s">
        <v>76</v>
      </c>
      <c r="C43" s="110" t="s">
        <v>403</v>
      </c>
      <c r="D43" s="182" t="str">
        <f>IF(Menu!$D$12="PT",'Dados Financeiros'!B43,'Dados Financeiros'!C43)</f>
        <v>Impostos e contribuições a recolher</v>
      </c>
      <c r="E43" s="32">
        <v>1243</v>
      </c>
      <c r="F43" s="32">
        <v>1504</v>
      </c>
      <c r="G43" s="32">
        <v>2185</v>
      </c>
      <c r="H43" s="32">
        <v>2199</v>
      </c>
      <c r="I43" s="32">
        <v>2407</v>
      </c>
      <c r="J43" s="32">
        <v>2984</v>
      </c>
      <c r="K43" s="32">
        <v>3584</v>
      </c>
      <c r="L43" s="32">
        <v>3637</v>
      </c>
      <c r="M43" s="32">
        <v>3661</v>
      </c>
      <c r="N43" s="32">
        <v>4011</v>
      </c>
      <c r="O43" s="32">
        <v>2427</v>
      </c>
      <c r="P43" s="32">
        <v>2647</v>
      </c>
      <c r="Q43" s="32">
        <v>3351</v>
      </c>
      <c r="R43" s="32">
        <v>6506</v>
      </c>
      <c r="S43" s="32">
        <v>8192</v>
      </c>
      <c r="T43" s="32">
        <v>6915</v>
      </c>
      <c r="U43" s="32">
        <v>6953</v>
      </c>
      <c r="V43" s="32">
        <v>12649</v>
      </c>
      <c r="W43" s="32">
        <v>13138</v>
      </c>
      <c r="X43" s="32">
        <v>14595</v>
      </c>
      <c r="Y43" s="32">
        <v>13455</v>
      </c>
      <c r="Z43" s="32">
        <v>4784</v>
      </c>
      <c r="AA43" s="32">
        <v>9472</v>
      </c>
      <c r="AB43" s="32">
        <v>5381</v>
      </c>
      <c r="AC43" s="32">
        <v>6574</v>
      </c>
      <c r="AD43" s="32">
        <v>4945</v>
      </c>
      <c r="AE43" s="32">
        <v>8944</v>
      </c>
      <c r="AF43" s="32">
        <v>7081</v>
      </c>
      <c r="AG43" s="32">
        <v>7199</v>
      </c>
      <c r="AH43" s="32">
        <v>6660</v>
      </c>
      <c r="AI43" s="32">
        <v>7631</v>
      </c>
      <c r="AJ43" s="32">
        <v>8355</v>
      </c>
      <c r="AK43" s="32">
        <v>6145</v>
      </c>
      <c r="AL43" s="32">
        <v>6609</v>
      </c>
      <c r="AM43" s="32">
        <v>7823</v>
      </c>
      <c r="AN43" s="32">
        <v>8437</v>
      </c>
      <c r="AO43" s="32">
        <v>7093</v>
      </c>
      <c r="AP43" s="32">
        <v>5999</v>
      </c>
      <c r="AQ43" s="4">
        <v>5853</v>
      </c>
      <c r="AR43" s="4">
        <v>4968</v>
      </c>
      <c r="AS43" s="4">
        <v>4020</v>
      </c>
      <c r="AT43" s="4">
        <v>4007</v>
      </c>
      <c r="AU43" s="4">
        <v>3456</v>
      </c>
      <c r="AV43" s="4">
        <v>4939</v>
      </c>
      <c r="AW43" s="4">
        <v>3561</v>
      </c>
      <c r="AX43" s="4">
        <v>4768</v>
      </c>
      <c r="AY43" s="4">
        <v>3400</v>
      </c>
      <c r="AZ43" s="4">
        <v>3411</v>
      </c>
      <c r="BA43" s="94">
        <v>3806</v>
      </c>
      <c r="BB43" s="4">
        <v>3658</v>
      </c>
      <c r="BC43" s="4">
        <v>2424</v>
      </c>
      <c r="BD43" s="4">
        <v>2638</v>
      </c>
      <c r="BE43" s="4">
        <v>2590</v>
      </c>
      <c r="BF43" s="4">
        <v>2410</v>
      </c>
      <c r="BG43" s="4">
        <v>1866</v>
      </c>
      <c r="BH43" s="4">
        <v>2801</v>
      </c>
      <c r="BI43" s="4">
        <v>2293</v>
      </c>
      <c r="BJ43" s="4">
        <v>2237</v>
      </c>
      <c r="BK43" s="4">
        <v>2691</v>
      </c>
      <c r="BL43" s="4">
        <v>2657</v>
      </c>
      <c r="BM43" s="4">
        <v>2156</v>
      </c>
      <c r="BN43" s="4">
        <v>2052</v>
      </c>
      <c r="BO43" s="4">
        <v>3069</v>
      </c>
      <c r="BP43" s="4">
        <v>2329</v>
      </c>
      <c r="BQ43" s="4">
        <v>1563</v>
      </c>
      <c r="BR43" s="4">
        <v>1715</v>
      </c>
      <c r="BS43" s="4">
        <v>1776</v>
      </c>
      <c r="BT43" s="4">
        <v>2695</v>
      </c>
      <c r="BU43" s="4">
        <v>3485</v>
      </c>
      <c r="BV43" s="4">
        <v>2677</v>
      </c>
      <c r="BW43" s="4">
        <v>2120</v>
      </c>
      <c r="BX43" s="4">
        <v>6396</v>
      </c>
      <c r="BY43" s="4">
        <v>4447</v>
      </c>
      <c r="BZ43" s="4">
        <v>3304</v>
      </c>
      <c r="CA43" s="4">
        <v>3401</v>
      </c>
      <c r="CB43" s="4">
        <v>2628</v>
      </c>
      <c r="CC43" s="4">
        <v>2862</v>
      </c>
      <c r="CD43" s="4">
        <v>2459</v>
      </c>
      <c r="CE43" s="4">
        <v>2596</v>
      </c>
      <c r="CF43" s="4">
        <v>2689</v>
      </c>
      <c r="CH43" s="94">
        <f t="shared" ca="1" si="113"/>
        <v>1504</v>
      </c>
      <c r="CI43" s="94">
        <f t="shared" ca="1" si="113"/>
        <v>2185</v>
      </c>
      <c r="CJ43" s="94">
        <f t="shared" ca="1" si="113"/>
        <v>2199</v>
      </c>
      <c r="CK43" s="94">
        <f t="shared" ca="1" si="113"/>
        <v>2984</v>
      </c>
      <c r="CL43" s="94">
        <f t="shared" ca="1" si="113"/>
        <v>3584</v>
      </c>
      <c r="CM43" s="94">
        <f t="shared" ca="1" si="113"/>
        <v>3637</v>
      </c>
      <c r="CN43" s="94">
        <f t="shared" ca="1" si="113"/>
        <v>4011</v>
      </c>
      <c r="CO43" s="94">
        <f t="shared" ca="1" si="113"/>
        <v>2427</v>
      </c>
      <c r="CP43" s="94">
        <f t="shared" ca="1" si="113"/>
        <v>2647</v>
      </c>
      <c r="CQ43" s="94">
        <f t="shared" ca="1" si="113"/>
        <v>6506</v>
      </c>
      <c r="CR43" s="94">
        <f t="shared" ca="1" si="114"/>
        <v>8192</v>
      </c>
      <c r="CS43" s="94">
        <f t="shared" ca="1" si="114"/>
        <v>6915</v>
      </c>
      <c r="CT43" s="94">
        <f t="shared" ca="1" si="114"/>
        <v>12649</v>
      </c>
      <c r="CU43" s="94">
        <f t="shared" ca="1" si="114"/>
        <v>13138</v>
      </c>
      <c r="CV43" s="94">
        <f t="shared" ca="1" si="114"/>
        <v>14595</v>
      </c>
      <c r="CW43" s="94">
        <f t="shared" ca="1" si="114"/>
        <v>5381</v>
      </c>
      <c r="CX43" s="94">
        <f t="shared" ca="1" si="114"/>
        <v>4945</v>
      </c>
      <c r="CY43" s="94">
        <f t="shared" ca="1" si="114"/>
        <v>7081</v>
      </c>
      <c r="CZ43" s="94">
        <f t="shared" ca="1" si="114"/>
        <v>6660</v>
      </c>
      <c r="DA43" s="94">
        <f t="shared" ca="1" si="114"/>
        <v>7631</v>
      </c>
      <c r="DB43" s="94">
        <f t="shared" ca="1" si="115"/>
        <v>8355</v>
      </c>
      <c r="DC43" s="94">
        <f t="shared" ca="1" si="115"/>
        <v>6609</v>
      </c>
      <c r="DD43" s="94">
        <f t="shared" ca="1" si="115"/>
        <v>7823</v>
      </c>
      <c r="DE43" s="94">
        <f t="shared" ca="1" si="115"/>
        <v>8437</v>
      </c>
      <c r="DF43" s="94">
        <f t="shared" ca="1" si="115"/>
        <v>5999</v>
      </c>
      <c r="DG43" s="94">
        <f t="shared" ca="1" si="115"/>
        <v>5853</v>
      </c>
      <c r="DH43" s="94">
        <f t="shared" ca="1" si="115"/>
        <v>4968</v>
      </c>
      <c r="DI43" s="94">
        <f t="shared" ca="1" si="115"/>
        <v>4007</v>
      </c>
      <c r="DJ43" s="94">
        <f t="shared" ca="1" si="115"/>
        <v>3456</v>
      </c>
      <c r="DK43" s="94">
        <f t="shared" ca="1" si="115"/>
        <v>4939</v>
      </c>
      <c r="DL43" s="94">
        <f t="shared" ca="1" si="116"/>
        <v>4768</v>
      </c>
      <c r="DM43" s="94">
        <f t="shared" ca="1" si="116"/>
        <v>3400</v>
      </c>
      <c r="DN43" s="94">
        <f t="shared" ca="1" si="116"/>
        <v>3411</v>
      </c>
      <c r="DO43" s="94">
        <f t="shared" ca="1" si="116"/>
        <v>3658</v>
      </c>
      <c r="DP43" s="94">
        <f t="shared" ca="1" si="116"/>
        <v>2424</v>
      </c>
      <c r="DQ43" s="94">
        <f t="shared" ca="1" si="116"/>
        <v>2638</v>
      </c>
      <c r="DR43" s="94">
        <f t="shared" ca="1" si="116"/>
        <v>2410</v>
      </c>
      <c r="DS43" s="94">
        <f t="shared" ca="1" si="116"/>
        <v>1866</v>
      </c>
      <c r="DT43" s="94">
        <f t="shared" ca="1" si="116"/>
        <v>2801</v>
      </c>
      <c r="DU43" s="94">
        <f t="shared" ca="1" si="116"/>
        <v>2237</v>
      </c>
      <c r="DV43" s="94">
        <f t="shared" ca="1" si="117"/>
        <v>2691</v>
      </c>
      <c r="DW43" s="94">
        <f t="shared" ca="1" si="117"/>
        <v>2657</v>
      </c>
      <c r="DX43" s="94">
        <f t="shared" ca="1" si="117"/>
        <v>2052</v>
      </c>
      <c r="DY43" s="94">
        <f t="shared" ca="1" si="117"/>
        <v>3069</v>
      </c>
      <c r="DZ43" s="94">
        <f t="shared" ca="1" si="117"/>
        <v>2329</v>
      </c>
      <c r="EA43" s="94">
        <f t="shared" ca="1" si="117"/>
        <v>1715</v>
      </c>
      <c r="EB43" s="94">
        <f t="shared" ca="1" si="117"/>
        <v>1776</v>
      </c>
      <c r="EC43" s="94">
        <f t="shared" ca="1" si="117"/>
        <v>2695</v>
      </c>
      <c r="ED43" s="94">
        <f t="shared" ca="1" si="117"/>
        <v>2677</v>
      </c>
      <c r="EE43" s="94">
        <f t="shared" ca="1" si="117"/>
        <v>2120</v>
      </c>
      <c r="EF43" s="94">
        <f t="shared" ca="1" si="118"/>
        <v>6396</v>
      </c>
      <c r="EG43" s="94">
        <f t="shared" ca="1" si="118"/>
        <v>3304</v>
      </c>
      <c r="EH43" s="94">
        <f t="shared" ca="1" si="118"/>
        <v>3401</v>
      </c>
      <c r="EI43" s="94">
        <f t="shared" ca="1" si="118"/>
        <v>2628</v>
      </c>
      <c r="EJ43" s="94">
        <f t="shared" ca="1" si="118"/>
        <v>2459</v>
      </c>
      <c r="EK43" s="94">
        <f t="shared" ca="1" si="118"/>
        <v>2596</v>
      </c>
      <c r="EL43" s="94">
        <f t="shared" ca="1" si="118"/>
        <v>2689</v>
      </c>
    </row>
    <row r="44" spans="2:142" x14ac:dyDescent="0.3">
      <c r="B44" s="110" t="s">
        <v>784</v>
      </c>
      <c r="C44" s="110" t="s">
        <v>404</v>
      </c>
      <c r="D44" s="182" t="str">
        <f>IF(Menu!$D$12="PT",'Dados Financeiros'!B44,'Dados Financeiros'!C44)</f>
        <v>Salários a pagar e encargos a recolher - CP</v>
      </c>
      <c r="E44" s="32">
        <v>2749</v>
      </c>
      <c r="F44" s="32">
        <v>3049</v>
      </c>
      <c r="G44" s="32">
        <v>3625</v>
      </c>
      <c r="H44" s="32">
        <v>4595</v>
      </c>
      <c r="I44" s="32">
        <v>4855</v>
      </c>
      <c r="J44" s="32">
        <v>4710</v>
      </c>
      <c r="K44" s="32">
        <v>5333</v>
      </c>
      <c r="L44" s="32">
        <v>8612</v>
      </c>
      <c r="M44" s="32">
        <v>9540</v>
      </c>
      <c r="N44" s="32">
        <v>6639</v>
      </c>
      <c r="O44" s="32">
        <v>7677</v>
      </c>
      <c r="P44" s="32">
        <v>10373</v>
      </c>
      <c r="Q44" s="32">
        <v>11118</v>
      </c>
      <c r="R44" s="32">
        <v>12367</v>
      </c>
      <c r="S44" s="32">
        <v>15018</v>
      </c>
      <c r="T44" s="32">
        <v>22043</v>
      </c>
      <c r="U44" s="32">
        <v>23733</v>
      </c>
      <c r="V44" s="32">
        <v>18899</v>
      </c>
      <c r="W44" s="32">
        <v>22531</v>
      </c>
      <c r="X44" s="32">
        <v>18660</v>
      </c>
      <c r="Y44" s="32">
        <v>22995</v>
      </c>
      <c r="Z44" s="32">
        <v>20675</v>
      </c>
      <c r="AA44" s="32">
        <v>30016</v>
      </c>
      <c r="AB44" s="32">
        <v>27297</v>
      </c>
      <c r="AC44" s="32">
        <v>36020</v>
      </c>
      <c r="AD44" s="32">
        <v>33195</v>
      </c>
      <c r="AE44" s="32">
        <v>27128</v>
      </c>
      <c r="AF44" s="32">
        <v>24696</v>
      </c>
      <c r="AG44" s="32">
        <v>28574</v>
      </c>
      <c r="AH44" s="32">
        <v>35535</v>
      </c>
      <c r="AI44" s="32">
        <v>44621</v>
      </c>
      <c r="AJ44" s="32">
        <v>38398</v>
      </c>
      <c r="AK44" s="32">
        <v>46205</v>
      </c>
      <c r="AL44" s="32">
        <v>41912</v>
      </c>
      <c r="AM44" s="32">
        <v>49471</v>
      </c>
      <c r="AN44" s="32">
        <v>35488</v>
      </c>
      <c r="AO44" s="32">
        <v>38205</v>
      </c>
      <c r="AP44" s="32">
        <v>36121</v>
      </c>
      <c r="AQ44" s="4">
        <v>43306</v>
      </c>
      <c r="AR44" s="4">
        <v>35015</v>
      </c>
      <c r="AS44" s="4">
        <v>34338</v>
      </c>
      <c r="AT44" s="4">
        <v>30411</v>
      </c>
      <c r="AU44" s="4">
        <v>31555</v>
      </c>
      <c r="AV44" s="4">
        <v>19817</v>
      </c>
      <c r="AW44" s="4">
        <v>19860</v>
      </c>
      <c r="AX44" s="4">
        <v>18574</v>
      </c>
      <c r="AY44" s="4">
        <v>18336</v>
      </c>
      <c r="AZ44" s="4">
        <v>15404</v>
      </c>
      <c r="BA44" s="94">
        <v>16292</v>
      </c>
      <c r="BB44" s="4">
        <v>16764</v>
      </c>
      <c r="BC44" s="4">
        <v>17807</v>
      </c>
      <c r="BD44" s="4">
        <v>14720</v>
      </c>
      <c r="BE44" s="4">
        <v>16045</v>
      </c>
      <c r="BF44" s="4">
        <v>17924</v>
      </c>
      <c r="BG44" s="4">
        <v>21977</v>
      </c>
      <c r="BH44" s="4">
        <v>15957</v>
      </c>
      <c r="BI44" s="4">
        <v>14192</v>
      </c>
      <c r="BJ44" s="4">
        <v>18780</v>
      </c>
      <c r="BK44" s="4">
        <v>19402</v>
      </c>
      <c r="BL44" s="4">
        <v>14586</v>
      </c>
      <c r="BM44" s="4">
        <v>16422</v>
      </c>
      <c r="BN44" s="4">
        <v>16551</v>
      </c>
      <c r="BO44" s="4">
        <v>18332</v>
      </c>
      <c r="BP44" s="4">
        <v>17404</v>
      </c>
      <c r="BQ44" s="4">
        <v>12934</v>
      </c>
      <c r="BR44" s="4">
        <v>12875</v>
      </c>
      <c r="BS44" s="4">
        <v>14141</v>
      </c>
      <c r="BT44" s="4">
        <v>22328</v>
      </c>
      <c r="BU44" s="4">
        <v>19941</v>
      </c>
      <c r="BV44" s="4">
        <v>16295</v>
      </c>
      <c r="BW44" s="4">
        <v>17482</v>
      </c>
      <c r="BX44" s="4">
        <v>13469</v>
      </c>
      <c r="BY44" s="4">
        <v>15097</v>
      </c>
      <c r="BZ44" s="4">
        <v>19166</v>
      </c>
      <c r="CA44" s="4">
        <v>21552</v>
      </c>
      <c r="CB44" s="4">
        <v>18325</v>
      </c>
      <c r="CC44" s="4">
        <v>23056</v>
      </c>
      <c r="CD44" s="4">
        <v>16238</v>
      </c>
      <c r="CE44" s="4">
        <v>18904</v>
      </c>
      <c r="CF44" s="4">
        <v>18830</v>
      </c>
      <c r="CH44" s="94">
        <f t="shared" ca="1" si="113"/>
        <v>3049</v>
      </c>
      <c r="CI44" s="94">
        <f t="shared" ca="1" si="113"/>
        <v>3625</v>
      </c>
      <c r="CJ44" s="94">
        <f t="shared" ca="1" si="113"/>
        <v>4595</v>
      </c>
      <c r="CK44" s="94">
        <f t="shared" ca="1" si="113"/>
        <v>4710</v>
      </c>
      <c r="CL44" s="94">
        <f t="shared" ca="1" si="113"/>
        <v>5333</v>
      </c>
      <c r="CM44" s="94">
        <f t="shared" ca="1" si="113"/>
        <v>8612</v>
      </c>
      <c r="CN44" s="94">
        <f t="shared" ca="1" si="113"/>
        <v>6639</v>
      </c>
      <c r="CO44" s="94">
        <f t="shared" ca="1" si="113"/>
        <v>7677</v>
      </c>
      <c r="CP44" s="94">
        <f t="shared" ca="1" si="113"/>
        <v>10373</v>
      </c>
      <c r="CQ44" s="94">
        <f t="shared" ca="1" si="113"/>
        <v>12367</v>
      </c>
      <c r="CR44" s="94">
        <f t="shared" ca="1" si="114"/>
        <v>15018</v>
      </c>
      <c r="CS44" s="94">
        <f t="shared" ca="1" si="114"/>
        <v>22043</v>
      </c>
      <c r="CT44" s="94">
        <f t="shared" ca="1" si="114"/>
        <v>18899</v>
      </c>
      <c r="CU44" s="94">
        <f t="shared" ca="1" si="114"/>
        <v>22531</v>
      </c>
      <c r="CV44" s="94">
        <f t="shared" ca="1" si="114"/>
        <v>18660</v>
      </c>
      <c r="CW44" s="94">
        <f t="shared" ca="1" si="114"/>
        <v>27297</v>
      </c>
      <c r="CX44" s="94">
        <f t="shared" ca="1" si="114"/>
        <v>33195</v>
      </c>
      <c r="CY44" s="94">
        <f t="shared" ca="1" si="114"/>
        <v>24696</v>
      </c>
      <c r="CZ44" s="94">
        <f t="shared" ca="1" si="114"/>
        <v>35535</v>
      </c>
      <c r="DA44" s="94">
        <f t="shared" ca="1" si="114"/>
        <v>44621</v>
      </c>
      <c r="DB44" s="94">
        <f t="shared" ca="1" si="115"/>
        <v>38398</v>
      </c>
      <c r="DC44" s="94">
        <f t="shared" ca="1" si="115"/>
        <v>41912</v>
      </c>
      <c r="DD44" s="94">
        <f t="shared" ca="1" si="115"/>
        <v>49471</v>
      </c>
      <c r="DE44" s="94">
        <f t="shared" ca="1" si="115"/>
        <v>35488</v>
      </c>
      <c r="DF44" s="94">
        <f t="shared" ca="1" si="115"/>
        <v>36121</v>
      </c>
      <c r="DG44" s="94">
        <f t="shared" ca="1" si="115"/>
        <v>43306</v>
      </c>
      <c r="DH44" s="94">
        <f t="shared" ca="1" si="115"/>
        <v>35015</v>
      </c>
      <c r="DI44" s="94">
        <f t="shared" ca="1" si="115"/>
        <v>30411</v>
      </c>
      <c r="DJ44" s="94">
        <f t="shared" ca="1" si="115"/>
        <v>31555</v>
      </c>
      <c r="DK44" s="94">
        <f t="shared" ca="1" si="115"/>
        <v>19817</v>
      </c>
      <c r="DL44" s="94">
        <f t="shared" ca="1" si="116"/>
        <v>18574</v>
      </c>
      <c r="DM44" s="94">
        <f t="shared" ca="1" si="116"/>
        <v>18336</v>
      </c>
      <c r="DN44" s="94">
        <f t="shared" ca="1" si="116"/>
        <v>15404</v>
      </c>
      <c r="DO44" s="94">
        <f t="shared" ca="1" si="116"/>
        <v>16764</v>
      </c>
      <c r="DP44" s="94">
        <f t="shared" ca="1" si="116"/>
        <v>17807</v>
      </c>
      <c r="DQ44" s="94">
        <f t="shared" ca="1" si="116"/>
        <v>14720</v>
      </c>
      <c r="DR44" s="94">
        <f t="shared" ca="1" si="116"/>
        <v>17924</v>
      </c>
      <c r="DS44" s="94">
        <f t="shared" ca="1" si="116"/>
        <v>21977</v>
      </c>
      <c r="DT44" s="94">
        <f t="shared" ca="1" si="116"/>
        <v>15957</v>
      </c>
      <c r="DU44" s="94">
        <f t="shared" ca="1" si="116"/>
        <v>18780</v>
      </c>
      <c r="DV44" s="94">
        <f t="shared" ca="1" si="117"/>
        <v>19402</v>
      </c>
      <c r="DW44" s="94">
        <f t="shared" ca="1" si="117"/>
        <v>14586</v>
      </c>
      <c r="DX44" s="94">
        <f t="shared" ca="1" si="117"/>
        <v>16551</v>
      </c>
      <c r="DY44" s="94">
        <f t="shared" ca="1" si="117"/>
        <v>18332</v>
      </c>
      <c r="DZ44" s="94">
        <f t="shared" ca="1" si="117"/>
        <v>17404</v>
      </c>
      <c r="EA44" s="94">
        <f t="shared" ca="1" si="117"/>
        <v>12875</v>
      </c>
      <c r="EB44" s="94">
        <f t="shared" ca="1" si="117"/>
        <v>14141</v>
      </c>
      <c r="EC44" s="94">
        <f t="shared" ca="1" si="117"/>
        <v>22328</v>
      </c>
      <c r="ED44" s="94">
        <f t="shared" ca="1" si="117"/>
        <v>16295</v>
      </c>
      <c r="EE44" s="94">
        <f t="shared" ca="1" si="117"/>
        <v>17482</v>
      </c>
      <c r="EF44" s="94">
        <f t="shared" ca="1" si="118"/>
        <v>13469</v>
      </c>
      <c r="EG44" s="94">
        <f t="shared" ca="1" si="118"/>
        <v>19166</v>
      </c>
      <c r="EH44" s="94">
        <f t="shared" ca="1" si="118"/>
        <v>21552</v>
      </c>
      <c r="EI44" s="94">
        <f t="shared" ca="1" si="118"/>
        <v>18325</v>
      </c>
      <c r="EJ44" s="94">
        <f t="shared" ca="1" si="118"/>
        <v>16238</v>
      </c>
      <c r="EK44" s="94">
        <f t="shared" ca="1" si="118"/>
        <v>18904</v>
      </c>
      <c r="EL44" s="94">
        <f t="shared" ca="1" si="118"/>
        <v>18830</v>
      </c>
    </row>
    <row r="45" spans="2:142" x14ac:dyDescent="0.3">
      <c r="B45" s="110" t="s">
        <v>645</v>
      </c>
      <c r="C45" s="110" t="s">
        <v>646</v>
      </c>
      <c r="D45" s="187" t="str">
        <f>IF(Menu!$D$12="PT",'Dados Financeiros'!B45,'Dados Financeiros'!C45)</f>
        <v>Provisão para plano de incentivo a longo prazo - CP</v>
      </c>
      <c r="E45" s="94">
        <v>0</v>
      </c>
      <c r="F45" s="94">
        <v>0</v>
      </c>
      <c r="G45" s="94">
        <v>0</v>
      </c>
      <c r="H45" s="94">
        <v>0</v>
      </c>
      <c r="I45" s="94">
        <v>0</v>
      </c>
      <c r="J45" s="94">
        <v>0</v>
      </c>
      <c r="K45" s="94">
        <v>0</v>
      </c>
      <c r="L45" s="94">
        <v>0</v>
      </c>
      <c r="M45" s="94">
        <v>0</v>
      </c>
      <c r="N45" s="94">
        <v>0</v>
      </c>
      <c r="O45" s="94">
        <v>0</v>
      </c>
      <c r="P45" s="94">
        <v>0</v>
      </c>
      <c r="Q45" s="94">
        <v>0</v>
      </c>
      <c r="R45" s="94">
        <v>0</v>
      </c>
      <c r="S45" s="94">
        <v>0</v>
      </c>
      <c r="T45" s="94">
        <v>0</v>
      </c>
      <c r="U45" s="94">
        <v>0</v>
      </c>
      <c r="V45" s="94">
        <v>0</v>
      </c>
      <c r="W45" s="94">
        <v>0</v>
      </c>
      <c r="X45" s="94">
        <v>0</v>
      </c>
      <c r="Y45" s="94">
        <v>0</v>
      </c>
      <c r="Z45" s="94">
        <v>0</v>
      </c>
      <c r="AA45" s="94">
        <v>0</v>
      </c>
      <c r="AB45" s="94">
        <v>0</v>
      </c>
      <c r="AC45" s="94">
        <v>0</v>
      </c>
      <c r="AD45" s="94">
        <v>0</v>
      </c>
      <c r="AE45" s="94">
        <v>0</v>
      </c>
      <c r="AF45" s="94">
        <v>0</v>
      </c>
      <c r="AG45" s="94">
        <v>0</v>
      </c>
      <c r="AH45" s="94">
        <v>0</v>
      </c>
      <c r="AI45" s="94">
        <v>0</v>
      </c>
      <c r="AJ45" s="94">
        <v>0</v>
      </c>
      <c r="AK45" s="94">
        <v>0</v>
      </c>
      <c r="AL45" s="94">
        <v>0</v>
      </c>
      <c r="AM45" s="94">
        <v>0</v>
      </c>
      <c r="AN45" s="94">
        <v>0</v>
      </c>
      <c r="AO45" s="94">
        <v>0</v>
      </c>
      <c r="AP45" s="94">
        <v>0</v>
      </c>
      <c r="AQ45" s="94">
        <v>0</v>
      </c>
      <c r="AR45" s="94">
        <v>0</v>
      </c>
      <c r="AS45" s="94">
        <v>0</v>
      </c>
      <c r="AT45" s="94">
        <v>0</v>
      </c>
      <c r="AU45" s="94">
        <v>0</v>
      </c>
      <c r="AV45" s="94">
        <v>0</v>
      </c>
      <c r="AW45" s="94">
        <v>0</v>
      </c>
      <c r="AX45" s="94">
        <v>0</v>
      </c>
      <c r="AY45" s="94">
        <v>0</v>
      </c>
      <c r="AZ45" s="94">
        <v>0</v>
      </c>
      <c r="BA45" s="94">
        <v>0</v>
      </c>
      <c r="BB45" s="94">
        <v>0</v>
      </c>
      <c r="BC45" s="94">
        <v>0</v>
      </c>
      <c r="BD45" s="94">
        <v>0</v>
      </c>
      <c r="BE45" s="94">
        <v>0</v>
      </c>
      <c r="BF45" s="94">
        <v>0</v>
      </c>
      <c r="BG45" s="94">
        <v>0</v>
      </c>
      <c r="BH45" s="94">
        <v>0</v>
      </c>
      <c r="BI45" s="94">
        <v>0</v>
      </c>
      <c r="BJ45" s="94">
        <v>0</v>
      </c>
      <c r="BK45" s="94">
        <v>0</v>
      </c>
      <c r="BL45" s="94">
        <v>0</v>
      </c>
      <c r="BM45" s="94">
        <v>15380</v>
      </c>
      <c r="BN45" s="94">
        <v>7570</v>
      </c>
      <c r="BO45" s="94">
        <v>6811</v>
      </c>
      <c r="BP45" s="94">
        <v>1642</v>
      </c>
      <c r="BQ45" s="94">
        <v>540</v>
      </c>
      <c r="BR45" s="94">
        <v>418</v>
      </c>
      <c r="BS45" s="94">
        <v>351</v>
      </c>
      <c r="BT45" s="94">
        <v>481</v>
      </c>
      <c r="BU45" s="94">
        <v>391</v>
      </c>
      <c r="BV45" s="94">
        <v>471</v>
      </c>
      <c r="BW45" s="94">
        <v>478</v>
      </c>
      <c r="BX45" s="94">
        <v>639</v>
      </c>
      <c r="BY45" s="94">
        <v>1191</v>
      </c>
      <c r="BZ45" s="94">
        <v>900</v>
      </c>
      <c r="CA45" s="94">
        <v>719</v>
      </c>
      <c r="CB45" s="94">
        <v>565</v>
      </c>
      <c r="CC45" s="94">
        <v>0</v>
      </c>
      <c r="CD45" s="94">
        <v>0</v>
      </c>
      <c r="CE45" s="94">
        <v>750</v>
      </c>
      <c r="CF45" s="94">
        <v>545</v>
      </c>
      <c r="CH45" s="94">
        <f t="shared" ca="1" si="113"/>
        <v>0</v>
      </c>
      <c r="CI45" s="94">
        <f t="shared" ca="1" si="113"/>
        <v>0</v>
      </c>
      <c r="CJ45" s="94">
        <f t="shared" ca="1" si="113"/>
        <v>0</v>
      </c>
      <c r="CK45" s="94">
        <f t="shared" ca="1" si="113"/>
        <v>0</v>
      </c>
      <c r="CL45" s="94">
        <f t="shared" ca="1" si="113"/>
        <v>0</v>
      </c>
      <c r="CM45" s="94">
        <f t="shared" ca="1" si="113"/>
        <v>0</v>
      </c>
      <c r="CN45" s="94">
        <f t="shared" ca="1" si="113"/>
        <v>0</v>
      </c>
      <c r="CO45" s="94">
        <f t="shared" ca="1" si="113"/>
        <v>0</v>
      </c>
      <c r="CP45" s="94">
        <f t="shared" ca="1" si="113"/>
        <v>0</v>
      </c>
      <c r="CQ45" s="94">
        <f t="shared" ca="1" si="113"/>
        <v>0</v>
      </c>
      <c r="CR45" s="94">
        <f t="shared" ca="1" si="114"/>
        <v>0</v>
      </c>
      <c r="CS45" s="94">
        <f t="shared" ca="1" si="114"/>
        <v>0</v>
      </c>
      <c r="CT45" s="94">
        <f t="shared" ca="1" si="114"/>
        <v>0</v>
      </c>
      <c r="CU45" s="94">
        <f t="shared" ca="1" si="114"/>
        <v>0</v>
      </c>
      <c r="CV45" s="94">
        <f t="shared" ca="1" si="114"/>
        <v>0</v>
      </c>
      <c r="CW45" s="94">
        <f t="shared" ca="1" si="114"/>
        <v>0</v>
      </c>
      <c r="CX45" s="94">
        <f t="shared" ca="1" si="114"/>
        <v>0</v>
      </c>
      <c r="CY45" s="94">
        <f t="shared" ca="1" si="114"/>
        <v>0</v>
      </c>
      <c r="CZ45" s="94">
        <f t="shared" ca="1" si="114"/>
        <v>0</v>
      </c>
      <c r="DA45" s="94">
        <f t="shared" ca="1" si="114"/>
        <v>0</v>
      </c>
      <c r="DB45" s="94">
        <f t="shared" ca="1" si="115"/>
        <v>0</v>
      </c>
      <c r="DC45" s="94">
        <f t="shared" ca="1" si="115"/>
        <v>0</v>
      </c>
      <c r="DD45" s="94">
        <f t="shared" ca="1" si="115"/>
        <v>0</v>
      </c>
      <c r="DE45" s="94">
        <f t="shared" ca="1" si="115"/>
        <v>0</v>
      </c>
      <c r="DF45" s="94">
        <f t="shared" ca="1" si="115"/>
        <v>0</v>
      </c>
      <c r="DG45" s="94">
        <f t="shared" ca="1" si="115"/>
        <v>0</v>
      </c>
      <c r="DH45" s="94">
        <f t="shared" ca="1" si="115"/>
        <v>0</v>
      </c>
      <c r="DI45" s="94">
        <f t="shared" ca="1" si="115"/>
        <v>0</v>
      </c>
      <c r="DJ45" s="94">
        <f t="shared" ca="1" si="115"/>
        <v>0</v>
      </c>
      <c r="DK45" s="94">
        <f t="shared" ca="1" si="115"/>
        <v>0</v>
      </c>
      <c r="DL45" s="94">
        <f t="shared" ca="1" si="116"/>
        <v>0</v>
      </c>
      <c r="DM45" s="94">
        <f t="shared" ca="1" si="116"/>
        <v>0</v>
      </c>
      <c r="DN45" s="94">
        <f t="shared" ca="1" si="116"/>
        <v>0</v>
      </c>
      <c r="DO45" s="94">
        <f t="shared" ca="1" si="116"/>
        <v>0</v>
      </c>
      <c r="DP45" s="94">
        <f t="shared" ca="1" si="116"/>
        <v>0</v>
      </c>
      <c r="DQ45" s="94">
        <f t="shared" ca="1" si="116"/>
        <v>0</v>
      </c>
      <c r="DR45" s="94">
        <f t="shared" ca="1" si="116"/>
        <v>0</v>
      </c>
      <c r="DS45" s="94">
        <f t="shared" ca="1" si="116"/>
        <v>0</v>
      </c>
      <c r="DT45" s="94">
        <f t="shared" ca="1" si="116"/>
        <v>0</v>
      </c>
      <c r="DU45" s="94">
        <f t="shared" ca="1" si="116"/>
        <v>0</v>
      </c>
      <c r="DV45" s="94">
        <f t="shared" ca="1" si="117"/>
        <v>0</v>
      </c>
      <c r="DW45" s="94">
        <f t="shared" ca="1" si="117"/>
        <v>0</v>
      </c>
      <c r="DX45" s="94">
        <f t="shared" ca="1" si="117"/>
        <v>7570</v>
      </c>
      <c r="DY45" s="94">
        <f t="shared" ca="1" si="117"/>
        <v>6811</v>
      </c>
      <c r="DZ45" s="94">
        <f t="shared" ca="1" si="117"/>
        <v>1642</v>
      </c>
      <c r="EA45" s="94">
        <f t="shared" ca="1" si="117"/>
        <v>418</v>
      </c>
      <c r="EB45" s="94">
        <f t="shared" ca="1" si="117"/>
        <v>351</v>
      </c>
      <c r="EC45" s="94">
        <f t="shared" ca="1" si="117"/>
        <v>481</v>
      </c>
      <c r="ED45" s="94">
        <f t="shared" ca="1" si="117"/>
        <v>471</v>
      </c>
      <c r="EE45" s="94">
        <f t="shared" ca="1" si="117"/>
        <v>478</v>
      </c>
      <c r="EF45" s="94">
        <f t="shared" ca="1" si="118"/>
        <v>639</v>
      </c>
      <c r="EG45" s="94">
        <f t="shared" ca="1" si="118"/>
        <v>900</v>
      </c>
      <c r="EH45" s="94">
        <f t="shared" ca="1" si="118"/>
        <v>719</v>
      </c>
      <c r="EI45" s="94">
        <f t="shared" ca="1" si="118"/>
        <v>565</v>
      </c>
      <c r="EJ45" s="94">
        <f t="shared" ca="1" si="118"/>
        <v>0</v>
      </c>
      <c r="EK45" s="94">
        <f t="shared" ca="1" si="118"/>
        <v>750</v>
      </c>
      <c r="EL45" s="94">
        <f t="shared" ca="1" si="118"/>
        <v>545</v>
      </c>
    </row>
    <row r="46" spans="2:142" x14ac:dyDescent="0.3">
      <c r="B46" s="110" t="s">
        <v>570</v>
      </c>
      <c r="C46" s="110" t="s">
        <v>405</v>
      </c>
      <c r="D46" s="182" t="str">
        <f>IF(Menu!$D$12="PT",'Dados Financeiros'!B46,'Dados Financeiros'!C46)</f>
        <v>Contas a pagar por aquisição de imóveis - CP</v>
      </c>
      <c r="E46" s="32">
        <v>157459</v>
      </c>
      <c r="F46" s="32">
        <v>40120</v>
      </c>
      <c r="G46" s="32">
        <v>31207</v>
      </c>
      <c r="H46" s="32">
        <v>46876</v>
      </c>
      <c r="I46" s="32">
        <v>25732</v>
      </c>
      <c r="J46" s="32">
        <v>27465</v>
      </c>
      <c r="K46" s="32">
        <v>25256</v>
      </c>
      <c r="L46" s="32">
        <v>38405</v>
      </c>
      <c r="M46" s="32">
        <v>38084</v>
      </c>
      <c r="N46" s="32">
        <v>22803</v>
      </c>
      <c r="O46" s="32">
        <v>28302</v>
      </c>
      <c r="P46" s="32">
        <v>46676</v>
      </c>
      <c r="Q46" s="32">
        <v>47757</v>
      </c>
      <c r="R46" s="32">
        <v>41156</v>
      </c>
      <c r="S46" s="32">
        <v>45547</v>
      </c>
      <c r="T46" s="32">
        <v>40513</v>
      </c>
      <c r="U46" s="32">
        <v>43121</v>
      </c>
      <c r="V46" s="32">
        <v>41171</v>
      </c>
      <c r="W46" s="32">
        <v>39499</v>
      </c>
      <c r="X46" s="32">
        <v>42510</v>
      </c>
      <c r="Y46" s="32">
        <v>25299</v>
      </c>
      <c r="Z46" s="32">
        <v>21890</v>
      </c>
      <c r="AA46" s="32">
        <v>33340</v>
      </c>
      <c r="AB46" s="32">
        <v>30904</v>
      </c>
      <c r="AC46" s="32">
        <v>34720</v>
      </c>
      <c r="AD46" s="32">
        <v>34362</v>
      </c>
      <c r="AE46" s="32">
        <v>29167</v>
      </c>
      <c r="AF46" s="32">
        <v>29118</v>
      </c>
      <c r="AG46" s="32">
        <v>27526</v>
      </c>
      <c r="AH46" s="32">
        <v>25753</v>
      </c>
      <c r="AI46" s="32">
        <v>63539</v>
      </c>
      <c r="AJ46" s="32">
        <v>68333</v>
      </c>
      <c r="AK46" s="32">
        <v>62772</v>
      </c>
      <c r="AL46" s="32">
        <v>59369</v>
      </c>
      <c r="AM46" s="32">
        <v>51441</v>
      </c>
      <c r="AN46" s="32">
        <v>48683</v>
      </c>
      <c r="AO46" s="32">
        <v>59271</v>
      </c>
      <c r="AP46" s="32">
        <v>59132</v>
      </c>
      <c r="AQ46" s="4">
        <v>58402</v>
      </c>
      <c r="AR46" s="4">
        <v>59089</v>
      </c>
      <c r="AS46" s="4">
        <v>59576</v>
      </c>
      <c r="AT46" s="4">
        <v>63799</v>
      </c>
      <c r="AU46" s="4">
        <v>70598</v>
      </c>
      <c r="AV46" s="4">
        <v>61245</v>
      </c>
      <c r="AW46" s="4">
        <v>61873</v>
      </c>
      <c r="AX46" s="4">
        <v>56656</v>
      </c>
      <c r="AY46" s="4">
        <v>51670</v>
      </c>
      <c r="AZ46" s="4">
        <v>50756</v>
      </c>
      <c r="BA46" s="94">
        <v>51102</v>
      </c>
      <c r="BB46" s="4">
        <v>51735</v>
      </c>
      <c r="BC46" s="4">
        <v>53987</v>
      </c>
      <c r="BD46" s="4">
        <v>53138</v>
      </c>
      <c r="BE46" s="4">
        <v>52962</v>
      </c>
      <c r="BF46" s="4">
        <v>52893</v>
      </c>
      <c r="BG46" s="4">
        <v>53589</v>
      </c>
      <c r="BH46" s="4">
        <v>53685</v>
      </c>
      <c r="BI46" s="4">
        <v>54228</v>
      </c>
      <c r="BJ46" s="4">
        <v>54615</v>
      </c>
      <c r="BK46" s="4">
        <v>56296</v>
      </c>
      <c r="BL46" s="4">
        <v>59011</v>
      </c>
      <c r="BM46" s="4">
        <v>63793</v>
      </c>
      <c r="BN46" s="4">
        <v>1682</v>
      </c>
      <c r="BO46" s="4">
        <v>1024</v>
      </c>
      <c r="BP46" s="4">
        <v>1790</v>
      </c>
      <c r="BQ46" s="4">
        <v>1594</v>
      </c>
      <c r="BR46" s="4">
        <v>1161</v>
      </c>
      <c r="BS46" s="4">
        <v>1246</v>
      </c>
      <c r="BT46" s="4">
        <v>5243</v>
      </c>
      <c r="BU46" s="4">
        <v>4493</v>
      </c>
      <c r="BV46" s="4">
        <v>4270</v>
      </c>
      <c r="BW46" s="4">
        <v>3265</v>
      </c>
      <c r="BX46" s="4">
        <v>2909</v>
      </c>
      <c r="BY46" s="4">
        <v>3020</v>
      </c>
      <c r="BZ46" s="4">
        <v>3073</v>
      </c>
      <c r="CA46" s="4">
        <v>2480</v>
      </c>
      <c r="CB46" s="4">
        <v>2637</v>
      </c>
      <c r="CC46" s="4">
        <v>2667</v>
      </c>
      <c r="CD46" s="4">
        <v>1564</v>
      </c>
      <c r="CE46" s="4">
        <v>1227</v>
      </c>
      <c r="CF46" s="4">
        <v>604</v>
      </c>
      <c r="CH46" s="94">
        <f t="shared" ca="1" si="113"/>
        <v>40120</v>
      </c>
      <c r="CI46" s="94">
        <f t="shared" ca="1" si="113"/>
        <v>31207</v>
      </c>
      <c r="CJ46" s="94">
        <f t="shared" ca="1" si="113"/>
        <v>46876</v>
      </c>
      <c r="CK46" s="94">
        <f t="shared" ca="1" si="113"/>
        <v>27465</v>
      </c>
      <c r="CL46" s="94">
        <f t="shared" ca="1" si="113"/>
        <v>25256</v>
      </c>
      <c r="CM46" s="94">
        <f t="shared" ca="1" si="113"/>
        <v>38405</v>
      </c>
      <c r="CN46" s="94">
        <f t="shared" ca="1" si="113"/>
        <v>22803</v>
      </c>
      <c r="CO46" s="94">
        <f t="shared" ca="1" si="113"/>
        <v>28302</v>
      </c>
      <c r="CP46" s="94">
        <f t="shared" ca="1" si="113"/>
        <v>46676</v>
      </c>
      <c r="CQ46" s="94">
        <f t="shared" ca="1" si="113"/>
        <v>41156</v>
      </c>
      <c r="CR46" s="94">
        <f t="shared" ca="1" si="114"/>
        <v>45547</v>
      </c>
      <c r="CS46" s="94">
        <f t="shared" ca="1" si="114"/>
        <v>40513</v>
      </c>
      <c r="CT46" s="94">
        <f t="shared" ca="1" si="114"/>
        <v>41171</v>
      </c>
      <c r="CU46" s="94">
        <f t="shared" ca="1" si="114"/>
        <v>39499</v>
      </c>
      <c r="CV46" s="94">
        <f t="shared" ca="1" si="114"/>
        <v>42510</v>
      </c>
      <c r="CW46" s="94">
        <f t="shared" ca="1" si="114"/>
        <v>30904</v>
      </c>
      <c r="CX46" s="94">
        <f t="shared" ca="1" si="114"/>
        <v>34362</v>
      </c>
      <c r="CY46" s="94">
        <f t="shared" ca="1" si="114"/>
        <v>29118</v>
      </c>
      <c r="CZ46" s="94">
        <f t="shared" ca="1" si="114"/>
        <v>25753</v>
      </c>
      <c r="DA46" s="94">
        <f t="shared" ca="1" si="114"/>
        <v>63539</v>
      </c>
      <c r="DB46" s="94">
        <f t="shared" ca="1" si="115"/>
        <v>68333</v>
      </c>
      <c r="DC46" s="94">
        <f t="shared" ca="1" si="115"/>
        <v>59369</v>
      </c>
      <c r="DD46" s="94">
        <f t="shared" ca="1" si="115"/>
        <v>51441</v>
      </c>
      <c r="DE46" s="94">
        <f t="shared" ca="1" si="115"/>
        <v>48683</v>
      </c>
      <c r="DF46" s="94">
        <f t="shared" ca="1" si="115"/>
        <v>59132</v>
      </c>
      <c r="DG46" s="94">
        <f t="shared" ca="1" si="115"/>
        <v>58402</v>
      </c>
      <c r="DH46" s="94">
        <f t="shared" ca="1" si="115"/>
        <v>59089</v>
      </c>
      <c r="DI46" s="94">
        <f t="shared" ca="1" si="115"/>
        <v>63799</v>
      </c>
      <c r="DJ46" s="94">
        <f t="shared" ca="1" si="115"/>
        <v>70598</v>
      </c>
      <c r="DK46" s="94">
        <f t="shared" ca="1" si="115"/>
        <v>61245</v>
      </c>
      <c r="DL46" s="94">
        <f t="shared" ca="1" si="116"/>
        <v>56656</v>
      </c>
      <c r="DM46" s="94">
        <f t="shared" ca="1" si="116"/>
        <v>51670</v>
      </c>
      <c r="DN46" s="94">
        <f t="shared" ca="1" si="116"/>
        <v>50756</v>
      </c>
      <c r="DO46" s="94">
        <f t="shared" ca="1" si="116"/>
        <v>51735</v>
      </c>
      <c r="DP46" s="94">
        <f t="shared" ca="1" si="116"/>
        <v>53987</v>
      </c>
      <c r="DQ46" s="94">
        <f t="shared" ca="1" si="116"/>
        <v>53138</v>
      </c>
      <c r="DR46" s="94">
        <f t="shared" ca="1" si="116"/>
        <v>52893</v>
      </c>
      <c r="DS46" s="94">
        <f t="shared" ca="1" si="116"/>
        <v>53589</v>
      </c>
      <c r="DT46" s="94">
        <f t="shared" ca="1" si="116"/>
        <v>53685</v>
      </c>
      <c r="DU46" s="94">
        <f t="shared" ca="1" si="116"/>
        <v>54615</v>
      </c>
      <c r="DV46" s="94">
        <f t="shared" ca="1" si="117"/>
        <v>56296</v>
      </c>
      <c r="DW46" s="94">
        <f t="shared" ca="1" si="117"/>
        <v>59011</v>
      </c>
      <c r="DX46" s="94">
        <f t="shared" ca="1" si="117"/>
        <v>1682</v>
      </c>
      <c r="DY46" s="94">
        <f t="shared" ca="1" si="117"/>
        <v>1024</v>
      </c>
      <c r="DZ46" s="94">
        <f t="shared" ca="1" si="117"/>
        <v>1790</v>
      </c>
      <c r="EA46" s="94">
        <f t="shared" ca="1" si="117"/>
        <v>1161</v>
      </c>
      <c r="EB46" s="94">
        <f t="shared" ca="1" si="117"/>
        <v>1246</v>
      </c>
      <c r="EC46" s="94">
        <f t="shared" ca="1" si="117"/>
        <v>5243</v>
      </c>
      <c r="ED46" s="94">
        <f t="shared" ca="1" si="117"/>
        <v>4270</v>
      </c>
      <c r="EE46" s="94">
        <f t="shared" ca="1" si="117"/>
        <v>3265</v>
      </c>
      <c r="EF46" s="94">
        <f t="shared" ca="1" si="118"/>
        <v>2909</v>
      </c>
      <c r="EG46" s="94">
        <f t="shared" ca="1" si="118"/>
        <v>3073</v>
      </c>
      <c r="EH46" s="94">
        <f t="shared" ca="1" si="118"/>
        <v>2480</v>
      </c>
      <c r="EI46" s="94">
        <f t="shared" ca="1" si="118"/>
        <v>2637</v>
      </c>
      <c r="EJ46" s="94">
        <f t="shared" ca="1" si="118"/>
        <v>1564</v>
      </c>
      <c r="EK46" s="94">
        <f t="shared" ca="1" si="118"/>
        <v>1227</v>
      </c>
      <c r="EL46" s="94">
        <f t="shared" ca="1" si="118"/>
        <v>604</v>
      </c>
    </row>
    <row r="47" spans="2:142" x14ac:dyDescent="0.3">
      <c r="B47" s="110" t="s">
        <v>571</v>
      </c>
      <c r="C47" s="110" t="s">
        <v>406</v>
      </c>
      <c r="D47" s="182" t="str">
        <f>IF(Menu!$D$12="PT",'Dados Financeiros'!B47,'Dados Financeiros'!C47)</f>
        <v>Dividendos propostos - CP</v>
      </c>
      <c r="E47" s="32">
        <v>0</v>
      </c>
      <c r="F47" s="32">
        <v>0</v>
      </c>
      <c r="G47" s="32">
        <v>0</v>
      </c>
      <c r="H47" s="32">
        <v>7721</v>
      </c>
      <c r="I47" s="32">
        <v>7721</v>
      </c>
      <c r="J47" s="32">
        <v>0</v>
      </c>
      <c r="K47" s="32">
        <v>0</v>
      </c>
      <c r="L47" s="32">
        <v>17878</v>
      </c>
      <c r="M47" s="32">
        <v>17878</v>
      </c>
      <c r="N47" s="32">
        <v>0</v>
      </c>
      <c r="O47" s="32">
        <v>0</v>
      </c>
      <c r="P47" s="32">
        <v>26252</v>
      </c>
      <c r="Q47" s="32">
        <v>26252</v>
      </c>
      <c r="R47" s="32">
        <v>0</v>
      </c>
      <c r="S47" s="32">
        <v>0</v>
      </c>
      <c r="T47" s="32">
        <v>47512</v>
      </c>
      <c r="U47" s="32">
        <v>47512</v>
      </c>
      <c r="V47" s="32">
        <v>0</v>
      </c>
      <c r="W47" s="32">
        <v>0</v>
      </c>
      <c r="X47" s="32">
        <v>34298</v>
      </c>
      <c r="Y47" s="32">
        <v>34298</v>
      </c>
      <c r="Z47" s="32">
        <v>34298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52522</v>
      </c>
      <c r="AK47" s="32">
        <v>84035</v>
      </c>
      <c r="AL47" s="32">
        <v>0</v>
      </c>
      <c r="AM47" s="32">
        <v>0</v>
      </c>
      <c r="AN47" s="32">
        <v>36896</v>
      </c>
      <c r="AO47" s="32">
        <v>36896</v>
      </c>
      <c r="AP47" s="32">
        <v>36896</v>
      </c>
      <c r="AQ47" s="32">
        <v>0</v>
      </c>
      <c r="AR47" s="32">
        <v>28000</v>
      </c>
      <c r="AS47" s="32">
        <v>28000</v>
      </c>
      <c r="AT47" s="32">
        <v>28547</v>
      </c>
      <c r="AU47" s="32">
        <v>24695</v>
      </c>
      <c r="AV47" s="32">
        <v>0</v>
      </c>
      <c r="AW47" s="32">
        <v>0</v>
      </c>
      <c r="AX47" s="32">
        <v>0</v>
      </c>
      <c r="AY47" s="4">
        <v>0</v>
      </c>
      <c r="AZ47" s="4">
        <v>0</v>
      </c>
      <c r="BA47" s="9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H47" s="94">
        <f t="shared" ca="1" si="113"/>
        <v>0</v>
      </c>
      <c r="CI47" s="94">
        <f t="shared" ca="1" si="113"/>
        <v>0</v>
      </c>
      <c r="CJ47" s="94">
        <f t="shared" ca="1" si="113"/>
        <v>7721</v>
      </c>
      <c r="CK47" s="94">
        <f t="shared" ca="1" si="113"/>
        <v>0</v>
      </c>
      <c r="CL47" s="94">
        <f t="shared" ca="1" si="113"/>
        <v>0</v>
      </c>
      <c r="CM47" s="94">
        <f t="shared" ca="1" si="113"/>
        <v>17878</v>
      </c>
      <c r="CN47" s="94">
        <f t="shared" ca="1" si="113"/>
        <v>0</v>
      </c>
      <c r="CO47" s="94">
        <f t="shared" ca="1" si="113"/>
        <v>0</v>
      </c>
      <c r="CP47" s="94">
        <f t="shared" ca="1" si="113"/>
        <v>26252</v>
      </c>
      <c r="CQ47" s="94">
        <f t="shared" ca="1" si="113"/>
        <v>0</v>
      </c>
      <c r="CR47" s="94">
        <f t="shared" ca="1" si="114"/>
        <v>0</v>
      </c>
      <c r="CS47" s="94">
        <f t="shared" ca="1" si="114"/>
        <v>47512</v>
      </c>
      <c r="CT47" s="94">
        <f t="shared" ca="1" si="114"/>
        <v>0</v>
      </c>
      <c r="CU47" s="94">
        <f t="shared" ca="1" si="114"/>
        <v>0</v>
      </c>
      <c r="CV47" s="94">
        <f t="shared" ca="1" si="114"/>
        <v>34298</v>
      </c>
      <c r="CW47" s="94">
        <f t="shared" ca="1" si="114"/>
        <v>0</v>
      </c>
      <c r="CX47" s="94">
        <f t="shared" ca="1" si="114"/>
        <v>0</v>
      </c>
      <c r="CY47" s="94">
        <f t="shared" ca="1" si="114"/>
        <v>0</v>
      </c>
      <c r="CZ47" s="94">
        <f t="shared" ca="1" si="114"/>
        <v>0</v>
      </c>
      <c r="DA47" s="94">
        <f t="shared" ca="1" si="114"/>
        <v>0</v>
      </c>
      <c r="DB47" s="94">
        <f t="shared" ca="1" si="115"/>
        <v>52522</v>
      </c>
      <c r="DC47" s="94">
        <f t="shared" ca="1" si="115"/>
        <v>0</v>
      </c>
      <c r="DD47" s="94">
        <f t="shared" ca="1" si="115"/>
        <v>0</v>
      </c>
      <c r="DE47" s="94">
        <f t="shared" ca="1" si="115"/>
        <v>36896</v>
      </c>
      <c r="DF47" s="94">
        <f t="shared" ca="1" si="115"/>
        <v>36896</v>
      </c>
      <c r="DG47" s="94">
        <f t="shared" ca="1" si="115"/>
        <v>0</v>
      </c>
      <c r="DH47" s="94">
        <f t="shared" ca="1" si="115"/>
        <v>28000</v>
      </c>
      <c r="DI47" s="94">
        <f t="shared" ca="1" si="115"/>
        <v>28547</v>
      </c>
      <c r="DJ47" s="94">
        <f t="shared" ca="1" si="115"/>
        <v>24695</v>
      </c>
      <c r="DK47" s="94">
        <f t="shared" ca="1" si="115"/>
        <v>0</v>
      </c>
      <c r="DL47" s="94">
        <f t="shared" ca="1" si="116"/>
        <v>0</v>
      </c>
      <c r="DM47" s="94">
        <f t="shared" ca="1" si="116"/>
        <v>0</v>
      </c>
      <c r="DN47" s="94">
        <f t="shared" ca="1" si="116"/>
        <v>0</v>
      </c>
      <c r="DO47" s="94">
        <f t="shared" ca="1" si="116"/>
        <v>0</v>
      </c>
      <c r="DP47" s="94">
        <f t="shared" ca="1" si="116"/>
        <v>0</v>
      </c>
      <c r="DQ47" s="94">
        <f t="shared" ca="1" si="116"/>
        <v>0</v>
      </c>
      <c r="DR47" s="94">
        <f t="shared" ca="1" si="116"/>
        <v>0</v>
      </c>
      <c r="DS47" s="94">
        <f t="shared" ca="1" si="116"/>
        <v>0</v>
      </c>
      <c r="DT47" s="94">
        <f t="shared" ca="1" si="116"/>
        <v>0</v>
      </c>
      <c r="DU47" s="94">
        <f t="shared" ca="1" si="116"/>
        <v>0</v>
      </c>
      <c r="DV47" s="94">
        <f t="shared" ca="1" si="117"/>
        <v>0</v>
      </c>
      <c r="DW47" s="94">
        <f t="shared" ca="1" si="117"/>
        <v>0</v>
      </c>
      <c r="DX47" s="94">
        <f t="shared" ca="1" si="117"/>
        <v>0</v>
      </c>
      <c r="DY47" s="94">
        <f t="shared" ca="1" si="117"/>
        <v>0</v>
      </c>
      <c r="DZ47" s="94">
        <f t="shared" ca="1" si="117"/>
        <v>0</v>
      </c>
      <c r="EA47" s="94">
        <f t="shared" ca="1" si="117"/>
        <v>0</v>
      </c>
      <c r="EB47" s="94">
        <f t="shared" ca="1" si="117"/>
        <v>0</v>
      </c>
      <c r="EC47" s="94">
        <f t="shared" ca="1" si="117"/>
        <v>0</v>
      </c>
      <c r="ED47" s="94">
        <f t="shared" ca="1" si="117"/>
        <v>0</v>
      </c>
      <c r="EE47" s="94">
        <f t="shared" ca="1" si="117"/>
        <v>0</v>
      </c>
      <c r="EF47" s="94">
        <f t="shared" ca="1" si="118"/>
        <v>0</v>
      </c>
      <c r="EG47" s="94">
        <f t="shared" ca="1" si="118"/>
        <v>0</v>
      </c>
      <c r="EH47" s="94">
        <f t="shared" ca="1" si="118"/>
        <v>0</v>
      </c>
      <c r="EI47" s="94">
        <f t="shared" ca="1" si="118"/>
        <v>0</v>
      </c>
      <c r="EJ47" s="94">
        <f t="shared" ca="1" si="118"/>
        <v>0</v>
      </c>
      <c r="EK47" s="94">
        <f t="shared" ca="1" si="118"/>
        <v>0</v>
      </c>
      <c r="EL47" s="94">
        <f t="shared" ca="1" si="118"/>
        <v>0</v>
      </c>
    </row>
    <row r="48" spans="2:142" x14ac:dyDescent="0.3">
      <c r="B48" s="110" t="s">
        <v>572</v>
      </c>
      <c r="C48" s="110" t="s">
        <v>391</v>
      </c>
      <c r="D48" s="182" t="str">
        <f>IF(Menu!$D$12="PT",'Dados Financeiros'!B48,'Dados Financeiros'!C48)</f>
        <v>Partes Relacionadas - PS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28329</v>
      </c>
      <c r="AA48" s="32">
        <v>0</v>
      </c>
      <c r="AB48" s="32">
        <v>25745</v>
      </c>
      <c r="AC48" s="32">
        <v>0</v>
      </c>
      <c r="AD48" s="32">
        <v>28282</v>
      </c>
      <c r="AE48" s="32">
        <v>0</v>
      </c>
      <c r="AF48" s="32">
        <v>52182</v>
      </c>
      <c r="AG48" s="32">
        <v>64685</v>
      </c>
      <c r="AH48" s="32">
        <v>54160</v>
      </c>
      <c r="AI48" s="32">
        <v>92991</v>
      </c>
      <c r="AJ48" s="32">
        <v>93263</v>
      </c>
      <c r="AK48" s="32">
        <v>89545</v>
      </c>
      <c r="AL48" s="32">
        <v>102654</v>
      </c>
      <c r="AM48" s="32">
        <v>71278</v>
      </c>
      <c r="AN48" s="32">
        <v>76579</v>
      </c>
      <c r="AO48" s="32">
        <v>83916</v>
      </c>
      <c r="AP48" s="32">
        <v>93325</v>
      </c>
      <c r="AQ48" s="32">
        <v>96625</v>
      </c>
      <c r="AR48" s="32">
        <v>104052</v>
      </c>
      <c r="AS48" s="32">
        <v>76922</v>
      </c>
      <c r="AT48" s="32">
        <v>128614</v>
      </c>
      <c r="AU48" s="32">
        <v>113330</v>
      </c>
      <c r="AV48" s="32">
        <v>93128</v>
      </c>
      <c r="AW48" s="32">
        <v>97830</v>
      </c>
      <c r="AX48" s="32">
        <v>101909</v>
      </c>
      <c r="AY48" s="4">
        <v>98737</v>
      </c>
      <c r="AZ48" s="4">
        <v>103724</v>
      </c>
      <c r="BA48" s="94">
        <v>111349</v>
      </c>
      <c r="BB48" s="4">
        <v>106065</v>
      </c>
      <c r="BC48" s="4">
        <v>113532</v>
      </c>
      <c r="BD48" s="4">
        <v>118421</v>
      </c>
      <c r="BE48" s="4">
        <v>116518</v>
      </c>
      <c r="BF48" s="4">
        <v>119408</v>
      </c>
      <c r="BG48" s="4">
        <v>113033</v>
      </c>
      <c r="BH48" s="4">
        <v>79020</v>
      </c>
      <c r="BI48" s="4">
        <v>82739</v>
      </c>
      <c r="BJ48" s="4">
        <v>85690</v>
      </c>
      <c r="BK48" s="4">
        <v>86637</v>
      </c>
      <c r="BL48" s="4">
        <v>89632</v>
      </c>
      <c r="BM48" s="4">
        <v>92336</v>
      </c>
      <c r="BN48" s="4">
        <v>92641</v>
      </c>
      <c r="BO48" s="4">
        <v>95322</v>
      </c>
      <c r="BP48" s="4">
        <v>92246</v>
      </c>
      <c r="BQ48" s="4">
        <v>93601</v>
      </c>
      <c r="BR48" s="4">
        <v>68347</v>
      </c>
      <c r="BS48" s="4">
        <v>70347</v>
      </c>
      <c r="BT48" s="4">
        <v>51469</v>
      </c>
      <c r="BU48" s="4">
        <v>23604</v>
      </c>
      <c r="BV48" s="4">
        <v>21600</v>
      </c>
      <c r="BW48" s="4">
        <v>23532</v>
      </c>
      <c r="BX48" s="4">
        <v>18736</v>
      </c>
      <c r="BY48" s="4">
        <v>23537</v>
      </c>
      <c r="BZ48" s="4">
        <v>21952</v>
      </c>
      <c r="CA48" s="4">
        <v>22615</v>
      </c>
      <c r="CB48" s="4">
        <v>22499</v>
      </c>
      <c r="CC48" s="4">
        <v>18833</v>
      </c>
      <c r="CD48" s="4">
        <v>18826</v>
      </c>
      <c r="CE48" s="4">
        <v>18822</v>
      </c>
      <c r="CF48" s="4">
        <v>18831</v>
      </c>
      <c r="CH48" s="94">
        <f t="shared" ca="1" si="113"/>
        <v>0</v>
      </c>
      <c r="CI48" s="94">
        <f t="shared" ca="1" si="113"/>
        <v>0</v>
      </c>
      <c r="CJ48" s="94">
        <f t="shared" ca="1" si="113"/>
        <v>0</v>
      </c>
      <c r="CK48" s="94">
        <f t="shared" ca="1" si="113"/>
        <v>0</v>
      </c>
      <c r="CL48" s="94">
        <f t="shared" ca="1" si="113"/>
        <v>0</v>
      </c>
      <c r="CM48" s="94">
        <f t="shared" ca="1" si="113"/>
        <v>0</v>
      </c>
      <c r="CN48" s="94">
        <f t="shared" ca="1" si="113"/>
        <v>0</v>
      </c>
      <c r="CO48" s="94">
        <f t="shared" ca="1" si="113"/>
        <v>0</v>
      </c>
      <c r="CP48" s="94">
        <f t="shared" ca="1" si="113"/>
        <v>0</v>
      </c>
      <c r="CQ48" s="94">
        <f t="shared" ca="1" si="113"/>
        <v>0</v>
      </c>
      <c r="CR48" s="94">
        <f t="shared" ca="1" si="114"/>
        <v>0</v>
      </c>
      <c r="CS48" s="94">
        <f t="shared" ca="1" si="114"/>
        <v>0</v>
      </c>
      <c r="CT48" s="94">
        <f t="shared" ca="1" si="114"/>
        <v>0</v>
      </c>
      <c r="CU48" s="94">
        <f t="shared" ca="1" si="114"/>
        <v>0</v>
      </c>
      <c r="CV48" s="94">
        <f t="shared" ca="1" si="114"/>
        <v>0</v>
      </c>
      <c r="CW48" s="94">
        <f t="shared" ca="1" si="114"/>
        <v>25745</v>
      </c>
      <c r="CX48" s="94">
        <f t="shared" ca="1" si="114"/>
        <v>28282</v>
      </c>
      <c r="CY48" s="94">
        <f t="shared" ca="1" si="114"/>
        <v>52182</v>
      </c>
      <c r="CZ48" s="94">
        <f t="shared" ca="1" si="114"/>
        <v>54160</v>
      </c>
      <c r="DA48" s="94">
        <f t="shared" ca="1" si="114"/>
        <v>92991</v>
      </c>
      <c r="DB48" s="94">
        <f t="shared" ca="1" si="115"/>
        <v>93263</v>
      </c>
      <c r="DC48" s="94">
        <f t="shared" ca="1" si="115"/>
        <v>102654</v>
      </c>
      <c r="DD48" s="94">
        <f t="shared" ca="1" si="115"/>
        <v>71278</v>
      </c>
      <c r="DE48" s="94">
        <f t="shared" ca="1" si="115"/>
        <v>76579</v>
      </c>
      <c r="DF48" s="94">
        <f t="shared" ca="1" si="115"/>
        <v>93325</v>
      </c>
      <c r="DG48" s="94">
        <f t="shared" ca="1" si="115"/>
        <v>96625</v>
      </c>
      <c r="DH48" s="94">
        <f t="shared" ca="1" si="115"/>
        <v>104052</v>
      </c>
      <c r="DI48" s="94">
        <f t="shared" ca="1" si="115"/>
        <v>128614</v>
      </c>
      <c r="DJ48" s="94">
        <f t="shared" ca="1" si="115"/>
        <v>113330</v>
      </c>
      <c r="DK48" s="94">
        <f t="shared" ca="1" si="115"/>
        <v>93128</v>
      </c>
      <c r="DL48" s="94">
        <f t="shared" ca="1" si="116"/>
        <v>101909</v>
      </c>
      <c r="DM48" s="94">
        <f t="shared" ca="1" si="116"/>
        <v>98737</v>
      </c>
      <c r="DN48" s="94">
        <f t="shared" ca="1" si="116"/>
        <v>103724</v>
      </c>
      <c r="DO48" s="94">
        <f t="shared" ca="1" si="116"/>
        <v>106065</v>
      </c>
      <c r="DP48" s="94">
        <f t="shared" ca="1" si="116"/>
        <v>113532</v>
      </c>
      <c r="DQ48" s="94">
        <f t="shared" ca="1" si="116"/>
        <v>118421</v>
      </c>
      <c r="DR48" s="94">
        <f t="shared" ca="1" si="116"/>
        <v>119408</v>
      </c>
      <c r="DS48" s="94">
        <f t="shared" ca="1" si="116"/>
        <v>113033</v>
      </c>
      <c r="DT48" s="94">
        <f t="shared" ca="1" si="116"/>
        <v>79020</v>
      </c>
      <c r="DU48" s="94">
        <f t="shared" ca="1" si="116"/>
        <v>85690</v>
      </c>
      <c r="DV48" s="94">
        <f t="shared" ca="1" si="117"/>
        <v>86637</v>
      </c>
      <c r="DW48" s="94">
        <f t="shared" ca="1" si="117"/>
        <v>89632</v>
      </c>
      <c r="DX48" s="94">
        <f t="shared" ca="1" si="117"/>
        <v>92641</v>
      </c>
      <c r="DY48" s="94">
        <f t="shared" ca="1" si="117"/>
        <v>95322</v>
      </c>
      <c r="DZ48" s="94">
        <f t="shared" ca="1" si="117"/>
        <v>92246</v>
      </c>
      <c r="EA48" s="94">
        <f t="shared" ca="1" si="117"/>
        <v>68347</v>
      </c>
      <c r="EB48" s="94">
        <f t="shared" ca="1" si="117"/>
        <v>70347</v>
      </c>
      <c r="EC48" s="94">
        <f t="shared" ca="1" si="117"/>
        <v>51469</v>
      </c>
      <c r="ED48" s="94">
        <f t="shared" ca="1" si="117"/>
        <v>21600</v>
      </c>
      <c r="EE48" s="94">
        <f t="shared" ca="1" si="117"/>
        <v>23532</v>
      </c>
      <c r="EF48" s="94">
        <f t="shared" ca="1" si="118"/>
        <v>18736</v>
      </c>
      <c r="EG48" s="94">
        <f t="shared" ca="1" si="118"/>
        <v>21952</v>
      </c>
      <c r="EH48" s="94">
        <f t="shared" ca="1" si="118"/>
        <v>22615</v>
      </c>
      <c r="EI48" s="94">
        <f t="shared" ca="1" si="118"/>
        <v>22499</v>
      </c>
      <c r="EJ48" s="94">
        <f t="shared" ca="1" si="118"/>
        <v>18826</v>
      </c>
      <c r="EK48" s="94">
        <f t="shared" ca="1" si="118"/>
        <v>18822</v>
      </c>
      <c r="EL48" s="94">
        <f t="shared" ca="1" si="118"/>
        <v>18831</v>
      </c>
    </row>
    <row r="49" spans="2:142" x14ac:dyDescent="0.3">
      <c r="B49" s="110" t="s">
        <v>573</v>
      </c>
      <c r="C49" s="110" t="s">
        <v>392</v>
      </c>
      <c r="D49" s="182" t="str">
        <f>IF(Menu!$D$12="PT",'Dados Financeiros'!B49,'Dados Financeiros'!C49)</f>
        <v>Parceiro em Negócios - PS</v>
      </c>
      <c r="E49" s="32">
        <v>100</v>
      </c>
      <c r="F49" s="32">
        <v>4389</v>
      </c>
      <c r="G49" s="32">
        <v>3749</v>
      </c>
      <c r="H49" s="32">
        <v>4647</v>
      </c>
      <c r="I49" s="32">
        <v>5072</v>
      </c>
      <c r="J49" s="32">
        <v>8072</v>
      </c>
      <c r="K49" s="32">
        <v>13384</v>
      </c>
      <c r="L49" s="32">
        <v>16209</v>
      </c>
      <c r="M49" s="32">
        <v>20849</v>
      </c>
      <c r="N49" s="32">
        <v>18634</v>
      </c>
      <c r="O49" s="32">
        <v>28850</v>
      </c>
      <c r="P49" s="32">
        <v>25573</v>
      </c>
      <c r="Q49" s="32">
        <v>26270</v>
      </c>
      <c r="R49" s="32">
        <v>31465</v>
      </c>
      <c r="S49" s="32">
        <v>35858</v>
      </c>
      <c r="T49" s="32">
        <v>24042</v>
      </c>
      <c r="U49" s="32">
        <v>34597</v>
      </c>
      <c r="V49" s="32">
        <v>25712</v>
      </c>
      <c r="W49" s="32">
        <v>29603</v>
      </c>
      <c r="X49" s="32">
        <v>6461</v>
      </c>
      <c r="Y49" s="32">
        <v>9337</v>
      </c>
      <c r="Z49" s="32">
        <v>9847</v>
      </c>
      <c r="AA49" s="32">
        <v>7762</v>
      </c>
      <c r="AB49" s="32">
        <v>18825</v>
      </c>
      <c r="AC49" s="32">
        <v>7613</v>
      </c>
      <c r="AD49" s="32">
        <v>16024</v>
      </c>
      <c r="AE49" s="32">
        <v>5511</v>
      </c>
      <c r="AF49" s="32">
        <v>23906</v>
      </c>
      <c r="AG49" s="32">
        <v>25528</v>
      </c>
      <c r="AH49" s="32">
        <v>14617</v>
      </c>
      <c r="AI49" s="32">
        <v>10046</v>
      </c>
      <c r="AJ49" s="32">
        <v>14207</v>
      </c>
      <c r="AK49" s="32">
        <v>14702</v>
      </c>
      <c r="AL49" s="32">
        <v>6957</v>
      </c>
      <c r="AM49" s="32">
        <v>17961</v>
      </c>
      <c r="AN49" s="32">
        <v>8531</v>
      </c>
      <c r="AO49" s="32">
        <v>7638</v>
      </c>
      <c r="AP49" s="32">
        <v>6979</v>
      </c>
      <c r="AQ49" s="32">
        <v>6899</v>
      </c>
      <c r="AR49" s="32">
        <v>13014</v>
      </c>
      <c r="AS49" s="32">
        <v>20342</v>
      </c>
      <c r="AT49" s="32">
        <v>23622</v>
      </c>
      <c r="AU49" s="32">
        <v>22626</v>
      </c>
      <c r="AV49" s="32">
        <v>23338</v>
      </c>
      <c r="AW49" s="32">
        <v>23726</v>
      </c>
      <c r="AX49" s="32">
        <v>24952</v>
      </c>
      <c r="AY49" s="4">
        <v>24951</v>
      </c>
      <c r="AZ49" s="4">
        <v>24089</v>
      </c>
      <c r="BA49" s="94">
        <v>24085</v>
      </c>
      <c r="BB49" s="4">
        <v>24067</v>
      </c>
      <c r="BC49" s="4">
        <v>25142</v>
      </c>
      <c r="BD49" s="4">
        <v>25613</v>
      </c>
      <c r="BE49" s="4">
        <v>25612</v>
      </c>
      <c r="BF49" s="4">
        <v>25595</v>
      </c>
      <c r="BG49" s="4">
        <v>25594</v>
      </c>
      <c r="BH49" s="4">
        <v>25578</v>
      </c>
      <c r="BI49" s="4">
        <v>25643</v>
      </c>
      <c r="BJ49" s="4">
        <v>25579</v>
      </c>
      <c r="BK49" s="4">
        <v>25769</v>
      </c>
      <c r="BL49" s="4">
        <v>26700</v>
      </c>
      <c r="BM49" s="4">
        <v>26701</v>
      </c>
      <c r="BN49" s="4">
        <v>26700</v>
      </c>
      <c r="BO49" s="4">
        <v>26700</v>
      </c>
      <c r="BP49" s="4">
        <v>28675</v>
      </c>
      <c r="BQ49" s="4">
        <v>28059</v>
      </c>
      <c r="BR49" s="4">
        <v>29605</v>
      </c>
      <c r="BS49" s="4">
        <v>30692</v>
      </c>
      <c r="BT49" s="4">
        <v>9968</v>
      </c>
      <c r="BU49" s="4">
        <v>14367</v>
      </c>
      <c r="BV49" s="4">
        <v>14593</v>
      </c>
      <c r="BW49" s="4">
        <v>3740</v>
      </c>
      <c r="BX49" s="4">
        <v>3740</v>
      </c>
      <c r="BY49" s="4">
        <v>3725</v>
      </c>
      <c r="BZ49" s="4">
        <v>3756</v>
      </c>
      <c r="CA49" s="4">
        <v>3817</v>
      </c>
      <c r="CB49" s="4">
        <v>3802</v>
      </c>
      <c r="CC49" s="4">
        <v>4431</v>
      </c>
      <c r="CD49" s="4">
        <v>4702</v>
      </c>
      <c r="CE49" s="4">
        <v>3802</v>
      </c>
      <c r="CF49" s="4">
        <v>222</v>
      </c>
      <c r="CH49" s="94">
        <f t="shared" ca="1" si="113"/>
        <v>4389</v>
      </c>
      <c r="CI49" s="94">
        <f t="shared" ca="1" si="113"/>
        <v>3749</v>
      </c>
      <c r="CJ49" s="94">
        <f t="shared" ca="1" si="113"/>
        <v>4647</v>
      </c>
      <c r="CK49" s="94">
        <f t="shared" ca="1" si="113"/>
        <v>8072</v>
      </c>
      <c r="CL49" s="94">
        <f t="shared" ca="1" si="113"/>
        <v>13384</v>
      </c>
      <c r="CM49" s="94">
        <f t="shared" ca="1" si="113"/>
        <v>16209</v>
      </c>
      <c r="CN49" s="94">
        <f t="shared" ca="1" si="113"/>
        <v>18634</v>
      </c>
      <c r="CO49" s="94">
        <f t="shared" ca="1" si="113"/>
        <v>28850</v>
      </c>
      <c r="CP49" s="94">
        <f t="shared" ca="1" si="113"/>
        <v>25573</v>
      </c>
      <c r="CQ49" s="94">
        <f t="shared" ca="1" si="113"/>
        <v>31465</v>
      </c>
      <c r="CR49" s="94">
        <f t="shared" ca="1" si="114"/>
        <v>35858</v>
      </c>
      <c r="CS49" s="94">
        <f t="shared" ca="1" si="114"/>
        <v>24042</v>
      </c>
      <c r="CT49" s="94">
        <f t="shared" ca="1" si="114"/>
        <v>25712</v>
      </c>
      <c r="CU49" s="94">
        <f t="shared" ca="1" si="114"/>
        <v>29603</v>
      </c>
      <c r="CV49" s="94">
        <f t="shared" ca="1" si="114"/>
        <v>6461</v>
      </c>
      <c r="CW49" s="94">
        <f t="shared" ca="1" si="114"/>
        <v>18825</v>
      </c>
      <c r="CX49" s="94">
        <f t="shared" ca="1" si="114"/>
        <v>16024</v>
      </c>
      <c r="CY49" s="94">
        <f t="shared" ca="1" si="114"/>
        <v>23906</v>
      </c>
      <c r="CZ49" s="94">
        <f t="shared" ca="1" si="114"/>
        <v>14617</v>
      </c>
      <c r="DA49" s="94">
        <f t="shared" ca="1" si="114"/>
        <v>10046</v>
      </c>
      <c r="DB49" s="94">
        <f t="shared" ca="1" si="115"/>
        <v>14207</v>
      </c>
      <c r="DC49" s="94">
        <f t="shared" ca="1" si="115"/>
        <v>6957</v>
      </c>
      <c r="DD49" s="94">
        <f t="shared" ca="1" si="115"/>
        <v>17961</v>
      </c>
      <c r="DE49" s="94">
        <f t="shared" ca="1" si="115"/>
        <v>8531</v>
      </c>
      <c r="DF49" s="94">
        <f t="shared" ca="1" si="115"/>
        <v>6979</v>
      </c>
      <c r="DG49" s="94">
        <f t="shared" ca="1" si="115"/>
        <v>6899</v>
      </c>
      <c r="DH49" s="94">
        <f t="shared" ca="1" si="115"/>
        <v>13014</v>
      </c>
      <c r="DI49" s="94">
        <f t="shared" ca="1" si="115"/>
        <v>23622</v>
      </c>
      <c r="DJ49" s="94">
        <f t="shared" ca="1" si="115"/>
        <v>22626</v>
      </c>
      <c r="DK49" s="94">
        <f t="shared" ca="1" si="115"/>
        <v>23338</v>
      </c>
      <c r="DL49" s="94">
        <f t="shared" ca="1" si="116"/>
        <v>24952</v>
      </c>
      <c r="DM49" s="94">
        <f t="shared" ca="1" si="116"/>
        <v>24951</v>
      </c>
      <c r="DN49" s="94">
        <f t="shared" ca="1" si="116"/>
        <v>24089</v>
      </c>
      <c r="DO49" s="94">
        <f t="shared" ca="1" si="116"/>
        <v>24067</v>
      </c>
      <c r="DP49" s="94">
        <f t="shared" ca="1" si="116"/>
        <v>25142</v>
      </c>
      <c r="DQ49" s="94">
        <f t="shared" ca="1" si="116"/>
        <v>25613</v>
      </c>
      <c r="DR49" s="94">
        <f t="shared" ca="1" si="116"/>
        <v>25595</v>
      </c>
      <c r="DS49" s="94">
        <f t="shared" ca="1" si="116"/>
        <v>25594</v>
      </c>
      <c r="DT49" s="94">
        <f t="shared" ca="1" si="116"/>
        <v>25578</v>
      </c>
      <c r="DU49" s="94">
        <f t="shared" ca="1" si="116"/>
        <v>25579</v>
      </c>
      <c r="DV49" s="94">
        <f t="shared" ca="1" si="117"/>
        <v>25769</v>
      </c>
      <c r="DW49" s="94">
        <f t="shared" ca="1" si="117"/>
        <v>26700</v>
      </c>
      <c r="DX49" s="94">
        <f t="shared" ca="1" si="117"/>
        <v>26700</v>
      </c>
      <c r="DY49" s="94">
        <f t="shared" ca="1" si="117"/>
        <v>26700</v>
      </c>
      <c r="DZ49" s="94">
        <f t="shared" ca="1" si="117"/>
        <v>28675</v>
      </c>
      <c r="EA49" s="94">
        <f t="shared" ca="1" si="117"/>
        <v>29605</v>
      </c>
      <c r="EB49" s="94">
        <f t="shared" ca="1" si="117"/>
        <v>30692</v>
      </c>
      <c r="EC49" s="94">
        <f t="shared" ca="1" si="117"/>
        <v>9968</v>
      </c>
      <c r="ED49" s="94">
        <f t="shared" ca="1" si="117"/>
        <v>14593</v>
      </c>
      <c r="EE49" s="94">
        <f t="shared" ca="1" si="117"/>
        <v>3740</v>
      </c>
      <c r="EF49" s="94">
        <f t="shared" ca="1" si="118"/>
        <v>3740</v>
      </c>
      <c r="EG49" s="94">
        <f t="shared" ca="1" si="118"/>
        <v>3756</v>
      </c>
      <c r="EH49" s="94">
        <f t="shared" ca="1" si="118"/>
        <v>3817</v>
      </c>
      <c r="EI49" s="94">
        <f t="shared" ca="1" si="118"/>
        <v>3802</v>
      </c>
      <c r="EJ49" s="94">
        <f t="shared" ca="1" si="118"/>
        <v>4702</v>
      </c>
      <c r="EK49" s="94">
        <f t="shared" ca="1" si="118"/>
        <v>3802</v>
      </c>
      <c r="EL49" s="94">
        <f t="shared" ca="1" si="118"/>
        <v>222</v>
      </c>
    </row>
    <row r="50" spans="2:142" x14ac:dyDescent="0.3">
      <c r="B50" s="110" t="s">
        <v>574</v>
      </c>
      <c r="C50" s="110" t="s">
        <v>407</v>
      </c>
      <c r="D50" s="182" t="str">
        <f>IF(Menu!$D$12="PT",'Dados Financeiros'!B50,'Dados Financeiros'!C50)</f>
        <v>Adiantamento de clientes - CP</v>
      </c>
      <c r="E50" s="32">
        <v>21788</v>
      </c>
      <c r="F50" s="32">
        <v>18175</v>
      </c>
      <c r="G50" s="32">
        <v>17411</v>
      </c>
      <c r="H50" s="32">
        <v>15068</v>
      </c>
      <c r="I50" s="32">
        <v>13887</v>
      </c>
      <c r="J50" s="32">
        <v>12107</v>
      </c>
      <c r="K50" s="32">
        <v>16815</v>
      </c>
      <c r="L50" s="32">
        <v>20027</v>
      </c>
      <c r="M50" s="32">
        <v>26188</v>
      </c>
      <c r="N50" s="32">
        <v>35228</v>
      </c>
      <c r="O50" s="32">
        <v>37128</v>
      </c>
      <c r="P50" s="32">
        <v>39147</v>
      </c>
      <c r="Q50" s="32">
        <v>44378</v>
      </c>
      <c r="R50" s="32">
        <v>57617</v>
      </c>
      <c r="S50" s="32">
        <v>201783</v>
      </c>
      <c r="T50" s="32">
        <v>70539</v>
      </c>
      <c r="U50" s="32">
        <v>81102</v>
      </c>
      <c r="V50" s="32">
        <v>158888</v>
      </c>
      <c r="W50" s="32">
        <v>168167</v>
      </c>
      <c r="X50" s="32">
        <v>182395</v>
      </c>
      <c r="Y50" s="32">
        <v>190738</v>
      </c>
      <c r="Z50" s="32">
        <v>161517</v>
      </c>
      <c r="AA50" s="32">
        <v>199390</v>
      </c>
      <c r="AB50" s="32">
        <v>163627</v>
      </c>
      <c r="AC50" s="32">
        <v>216862</v>
      </c>
      <c r="AD50" s="32">
        <v>185218</v>
      </c>
      <c r="AE50" s="32">
        <v>268701</v>
      </c>
      <c r="AF50" s="32">
        <v>216124</v>
      </c>
      <c r="AG50" s="32">
        <v>255823</v>
      </c>
      <c r="AH50" s="32">
        <v>239855</v>
      </c>
      <c r="AI50" s="32">
        <v>239121</v>
      </c>
      <c r="AJ50" s="32">
        <v>162742</v>
      </c>
      <c r="AK50" s="32">
        <v>189122</v>
      </c>
      <c r="AL50" s="32">
        <v>185762</v>
      </c>
      <c r="AM50" s="32">
        <v>179411</v>
      </c>
      <c r="AN50" s="32">
        <v>158310</v>
      </c>
      <c r="AO50" s="32">
        <v>137303</v>
      </c>
      <c r="AP50" s="32">
        <v>120219</v>
      </c>
      <c r="AQ50" s="32">
        <v>98671</v>
      </c>
      <c r="AR50" s="32">
        <v>54916</v>
      </c>
      <c r="AS50" s="32">
        <v>59568</v>
      </c>
      <c r="AT50" s="32">
        <v>47305</v>
      </c>
      <c r="AU50" s="32">
        <v>56945</v>
      </c>
      <c r="AV50" s="32">
        <v>40876</v>
      </c>
      <c r="AW50" s="32">
        <v>35334</v>
      </c>
      <c r="AX50" s="32">
        <v>27678</v>
      </c>
      <c r="AY50" s="4">
        <v>35251</v>
      </c>
      <c r="AZ50" s="4">
        <v>31708</v>
      </c>
      <c r="BA50" s="94">
        <v>40413</v>
      </c>
      <c r="BB50" s="4">
        <v>44794</v>
      </c>
      <c r="BC50" s="4">
        <v>41929</v>
      </c>
      <c r="BD50" s="4">
        <v>26441</v>
      </c>
      <c r="BE50" s="4">
        <v>21501</v>
      </c>
      <c r="BF50" s="4">
        <v>20897</v>
      </c>
      <c r="BG50" s="4">
        <v>0</v>
      </c>
      <c r="BH50" s="4">
        <v>7200</v>
      </c>
      <c r="BI50" s="4">
        <v>19698</v>
      </c>
      <c r="BJ50" s="4">
        <v>19698</v>
      </c>
      <c r="BK50" s="4">
        <v>30145</v>
      </c>
      <c r="BL50" s="4">
        <v>7252</v>
      </c>
      <c r="BM50" s="4">
        <v>13549</v>
      </c>
      <c r="BN50" s="4">
        <v>10443</v>
      </c>
      <c r="BO50" s="4">
        <v>18585</v>
      </c>
      <c r="BP50" s="4">
        <v>22537</v>
      </c>
      <c r="BQ50" s="4">
        <v>29580</v>
      </c>
      <c r="BR50" s="4">
        <v>40261</v>
      </c>
      <c r="BS50" s="4">
        <v>44796</v>
      </c>
      <c r="BT50" s="4">
        <v>54065</v>
      </c>
      <c r="BU50" s="4">
        <v>58704</v>
      </c>
      <c r="BV50" s="4">
        <v>35545</v>
      </c>
      <c r="BW50" s="4">
        <v>48324</v>
      </c>
      <c r="BX50" s="4">
        <v>48275</v>
      </c>
      <c r="BY50" s="4">
        <v>49040</v>
      </c>
      <c r="BZ50" s="4">
        <v>48155</v>
      </c>
      <c r="CA50" s="4">
        <v>72248</v>
      </c>
      <c r="CB50" s="4">
        <v>66386</v>
      </c>
      <c r="CC50" s="4">
        <v>86158</v>
      </c>
      <c r="CD50" s="4">
        <v>81143</v>
      </c>
      <c r="CE50" s="4">
        <v>66564</v>
      </c>
      <c r="CF50" s="4">
        <v>53670</v>
      </c>
      <c r="CH50" s="94">
        <f t="shared" ca="1" si="113"/>
        <v>18175</v>
      </c>
      <c r="CI50" s="94">
        <f t="shared" ca="1" si="113"/>
        <v>17411</v>
      </c>
      <c r="CJ50" s="94">
        <f t="shared" ca="1" si="113"/>
        <v>15068</v>
      </c>
      <c r="CK50" s="94">
        <f t="shared" ca="1" si="113"/>
        <v>12107</v>
      </c>
      <c r="CL50" s="94">
        <f t="shared" ca="1" si="113"/>
        <v>16815</v>
      </c>
      <c r="CM50" s="94">
        <f t="shared" ca="1" si="113"/>
        <v>20027</v>
      </c>
      <c r="CN50" s="94">
        <f t="shared" ca="1" si="113"/>
        <v>35228</v>
      </c>
      <c r="CO50" s="94">
        <f t="shared" ca="1" si="113"/>
        <v>37128</v>
      </c>
      <c r="CP50" s="94">
        <f t="shared" ca="1" si="113"/>
        <v>39147</v>
      </c>
      <c r="CQ50" s="94">
        <f t="shared" ca="1" si="113"/>
        <v>57617</v>
      </c>
      <c r="CR50" s="94">
        <f t="shared" ca="1" si="114"/>
        <v>201783</v>
      </c>
      <c r="CS50" s="94">
        <f t="shared" ca="1" si="114"/>
        <v>70539</v>
      </c>
      <c r="CT50" s="94">
        <f t="shared" ca="1" si="114"/>
        <v>158888</v>
      </c>
      <c r="CU50" s="94">
        <f t="shared" ca="1" si="114"/>
        <v>168167</v>
      </c>
      <c r="CV50" s="94">
        <f t="shared" ca="1" si="114"/>
        <v>182395</v>
      </c>
      <c r="CW50" s="94">
        <f t="shared" ca="1" si="114"/>
        <v>163627</v>
      </c>
      <c r="CX50" s="94">
        <f t="shared" ca="1" si="114"/>
        <v>185218</v>
      </c>
      <c r="CY50" s="94">
        <f t="shared" ca="1" si="114"/>
        <v>216124</v>
      </c>
      <c r="CZ50" s="94">
        <f t="shared" ca="1" si="114"/>
        <v>239855</v>
      </c>
      <c r="DA50" s="94">
        <f t="shared" ca="1" si="114"/>
        <v>239121</v>
      </c>
      <c r="DB50" s="94">
        <f t="shared" ca="1" si="115"/>
        <v>162742</v>
      </c>
      <c r="DC50" s="94">
        <f t="shared" ca="1" si="115"/>
        <v>185762</v>
      </c>
      <c r="DD50" s="94">
        <f t="shared" ca="1" si="115"/>
        <v>179411</v>
      </c>
      <c r="DE50" s="94">
        <f t="shared" ca="1" si="115"/>
        <v>158310</v>
      </c>
      <c r="DF50" s="94">
        <f t="shared" ca="1" si="115"/>
        <v>120219</v>
      </c>
      <c r="DG50" s="94">
        <f t="shared" ca="1" si="115"/>
        <v>98671</v>
      </c>
      <c r="DH50" s="94">
        <f t="shared" ca="1" si="115"/>
        <v>54916</v>
      </c>
      <c r="DI50" s="94">
        <f t="shared" ca="1" si="115"/>
        <v>47305</v>
      </c>
      <c r="DJ50" s="94">
        <f t="shared" ca="1" si="115"/>
        <v>56945</v>
      </c>
      <c r="DK50" s="94">
        <f t="shared" ca="1" si="115"/>
        <v>40876</v>
      </c>
      <c r="DL50" s="94">
        <f t="shared" ca="1" si="116"/>
        <v>27678</v>
      </c>
      <c r="DM50" s="94">
        <f t="shared" ca="1" si="116"/>
        <v>35251</v>
      </c>
      <c r="DN50" s="94">
        <f t="shared" ca="1" si="116"/>
        <v>31708</v>
      </c>
      <c r="DO50" s="94">
        <f t="shared" ca="1" si="116"/>
        <v>44794</v>
      </c>
      <c r="DP50" s="94">
        <f t="shared" ca="1" si="116"/>
        <v>41929</v>
      </c>
      <c r="DQ50" s="94">
        <f t="shared" ca="1" si="116"/>
        <v>26441</v>
      </c>
      <c r="DR50" s="94">
        <f t="shared" ca="1" si="116"/>
        <v>20897</v>
      </c>
      <c r="DS50" s="94">
        <f t="shared" ca="1" si="116"/>
        <v>0</v>
      </c>
      <c r="DT50" s="94">
        <f t="shared" ca="1" si="116"/>
        <v>7200</v>
      </c>
      <c r="DU50" s="94">
        <f t="shared" ca="1" si="116"/>
        <v>19698</v>
      </c>
      <c r="DV50" s="94">
        <f t="shared" ca="1" si="117"/>
        <v>30145</v>
      </c>
      <c r="DW50" s="94">
        <f t="shared" ca="1" si="117"/>
        <v>7252</v>
      </c>
      <c r="DX50" s="94">
        <f t="shared" ca="1" si="117"/>
        <v>10443</v>
      </c>
      <c r="DY50" s="94">
        <f t="shared" ca="1" si="117"/>
        <v>18585</v>
      </c>
      <c r="DZ50" s="94">
        <f t="shared" ca="1" si="117"/>
        <v>22537</v>
      </c>
      <c r="EA50" s="94">
        <f t="shared" ca="1" si="117"/>
        <v>40261</v>
      </c>
      <c r="EB50" s="94">
        <f t="shared" ca="1" si="117"/>
        <v>44796</v>
      </c>
      <c r="EC50" s="94">
        <f t="shared" ca="1" si="117"/>
        <v>54065</v>
      </c>
      <c r="ED50" s="94">
        <f t="shared" ca="1" si="117"/>
        <v>35545</v>
      </c>
      <c r="EE50" s="94">
        <f t="shared" ca="1" si="117"/>
        <v>48324</v>
      </c>
      <c r="EF50" s="94">
        <f t="shared" ca="1" si="118"/>
        <v>48275</v>
      </c>
      <c r="EG50" s="94">
        <f t="shared" ca="1" si="118"/>
        <v>48155</v>
      </c>
      <c r="EH50" s="94">
        <f t="shared" ca="1" si="118"/>
        <v>72248</v>
      </c>
      <c r="EI50" s="94">
        <f t="shared" ca="1" si="118"/>
        <v>66386</v>
      </c>
      <c r="EJ50" s="94">
        <f t="shared" ca="1" si="118"/>
        <v>81143</v>
      </c>
      <c r="EK50" s="94">
        <f t="shared" ca="1" si="118"/>
        <v>66564</v>
      </c>
      <c r="EL50" s="94">
        <f t="shared" ca="1" si="118"/>
        <v>53670</v>
      </c>
    </row>
    <row r="51" spans="2:142" x14ac:dyDescent="0.3">
      <c r="B51" s="110" t="s">
        <v>75</v>
      </c>
      <c r="C51" s="110" t="s">
        <v>408</v>
      </c>
      <c r="D51" s="182" t="str">
        <f>IF(Menu!$D$12="PT",'Dados Financeiros'!B51,'Dados Financeiros'!C51)</f>
        <v>Provisão para IR e CS</v>
      </c>
      <c r="E51" s="32">
        <v>667</v>
      </c>
      <c r="F51" s="32">
        <v>657</v>
      </c>
      <c r="G51" s="32">
        <v>1090</v>
      </c>
      <c r="H51" s="32">
        <v>2795</v>
      </c>
      <c r="I51" s="32">
        <v>4791</v>
      </c>
      <c r="J51" s="32">
        <v>5558</v>
      </c>
      <c r="K51" s="32">
        <v>2725</v>
      </c>
      <c r="L51" s="32">
        <v>2247</v>
      </c>
      <c r="M51" s="32">
        <v>2279</v>
      </c>
      <c r="N51" s="32">
        <v>2760</v>
      </c>
      <c r="O51" s="32">
        <v>2733</v>
      </c>
      <c r="P51" s="32">
        <v>3371</v>
      </c>
      <c r="Q51" s="32">
        <v>2458</v>
      </c>
      <c r="R51" s="32">
        <v>3275</v>
      </c>
      <c r="S51" s="32">
        <v>4087</v>
      </c>
      <c r="T51" s="32">
        <v>5093</v>
      </c>
      <c r="U51" s="32">
        <v>4896</v>
      </c>
      <c r="V51" s="32">
        <v>4494</v>
      </c>
      <c r="W51" s="32">
        <v>4539</v>
      </c>
      <c r="X51" s="32">
        <v>4634</v>
      </c>
      <c r="Y51" s="32">
        <v>3396</v>
      </c>
      <c r="Z51" s="32">
        <v>2686</v>
      </c>
      <c r="AA51" s="32">
        <v>2922</v>
      </c>
      <c r="AB51" s="32">
        <v>3680</v>
      </c>
      <c r="AC51" s="32">
        <v>4136</v>
      </c>
      <c r="AD51" s="32">
        <v>3442</v>
      </c>
      <c r="AE51" s="32">
        <v>5591</v>
      </c>
      <c r="AF51" s="32">
        <v>5412</v>
      </c>
      <c r="AG51" s="32">
        <v>5145</v>
      </c>
      <c r="AH51" s="32">
        <v>5962</v>
      </c>
      <c r="AI51" s="32">
        <v>5422</v>
      </c>
      <c r="AJ51" s="32">
        <v>6194</v>
      </c>
      <c r="AK51" s="32">
        <v>3779</v>
      </c>
      <c r="AL51" s="32">
        <v>5439</v>
      </c>
      <c r="AM51" s="32">
        <v>6753</v>
      </c>
      <c r="AN51" s="32">
        <v>6762</v>
      </c>
      <c r="AO51" s="32">
        <v>5716</v>
      </c>
      <c r="AP51" s="32">
        <v>5331</v>
      </c>
      <c r="AQ51" s="32">
        <v>5087</v>
      </c>
      <c r="AR51" s="32">
        <v>7143</v>
      </c>
      <c r="AS51" s="32">
        <v>2980</v>
      </c>
      <c r="AT51" s="32">
        <v>2809</v>
      </c>
      <c r="AU51" s="32">
        <v>2629</v>
      </c>
      <c r="AV51" s="32">
        <v>2391</v>
      </c>
      <c r="AW51" s="32">
        <v>2400</v>
      </c>
      <c r="AX51" s="32">
        <v>3170</v>
      </c>
      <c r="AY51" s="4">
        <v>2914</v>
      </c>
      <c r="AZ51" s="4">
        <v>1523</v>
      </c>
      <c r="BA51" s="94">
        <v>3481</v>
      </c>
      <c r="BB51" s="4">
        <v>3617</v>
      </c>
      <c r="BC51" s="4">
        <v>2191</v>
      </c>
      <c r="BD51" s="4">
        <v>1924</v>
      </c>
      <c r="BE51" s="4">
        <v>940</v>
      </c>
      <c r="BF51" s="4">
        <v>573</v>
      </c>
      <c r="BG51" s="4">
        <v>754</v>
      </c>
      <c r="BH51" s="4">
        <v>1104</v>
      </c>
      <c r="BI51" s="4">
        <v>326</v>
      </c>
      <c r="BJ51" s="4">
        <v>823</v>
      </c>
      <c r="BK51" s="4">
        <v>1217</v>
      </c>
      <c r="BL51" s="4">
        <v>2495</v>
      </c>
      <c r="BM51" s="4">
        <v>3069</v>
      </c>
      <c r="BN51" s="4">
        <v>3227</v>
      </c>
      <c r="BO51" s="4">
        <v>3127</v>
      </c>
      <c r="BP51" s="4">
        <v>2165</v>
      </c>
      <c r="BQ51" s="4">
        <v>2596</v>
      </c>
      <c r="BR51" s="4">
        <v>2535</v>
      </c>
      <c r="BS51" s="4">
        <v>3569</v>
      </c>
      <c r="BT51" s="4">
        <v>3598</v>
      </c>
      <c r="BU51" s="4">
        <v>3891</v>
      </c>
      <c r="BV51" s="4">
        <v>3303</v>
      </c>
      <c r="BW51" s="4">
        <v>3187</v>
      </c>
      <c r="BX51" s="4">
        <v>3572</v>
      </c>
      <c r="BY51" s="4">
        <v>4823</v>
      </c>
      <c r="BZ51" s="4">
        <v>4502</v>
      </c>
      <c r="CA51" s="4">
        <v>5746</v>
      </c>
      <c r="CB51" s="4">
        <v>2972</v>
      </c>
      <c r="CC51" s="4">
        <v>3471</v>
      </c>
      <c r="CD51" s="4">
        <v>3344</v>
      </c>
      <c r="CE51" s="4">
        <v>2426</v>
      </c>
      <c r="CF51" s="4">
        <v>2190</v>
      </c>
      <c r="CH51" s="94">
        <f t="shared" ca="1" si="113"/>
        <v>657</v>
      </c>
      <c r="CI51" s="94">
        <f t="shared" ca="1" si="113"/>
        <v>1090</v>
      </c>
      <c r="CJ51" s="94">
        <f t="shared" ca="1" si="113"/>
        <v>2795</v>
      </c>
      <c r="CK51" s="94">
        <f t="shared" ca="1" si="113"/>
        <v>5558</v>
      </c>
      <c r="CL51" s="94">
        <f t="shared" ca="1" si="113"/>
        <v>2725</v>
      </c>
      <c r="CM51" s="94">
        <f t="shared" ca="1" si="113"/>
        <v>2247</v>
      </c>
      <c r="CN51" s="94">
        <f t="shared" ca="1" si="113"/>
        <v>2760</v>
      </c>
      <c r="CO51" s="94">
        <f t="shared" ca="1" si="113"/>
        <v>2733</v>
      </c>
      <c r="CP51" s="94">
        <f t="shared" ca="1" si="113"/>
        <v>3371</v>
      </c>
      <c r="CQ51" s="94">
        <f t="shared" ca="1" si="113"/>
        <v>3275</v>
      </c>
      <c r="CR51" s="94">
        <f t="shared" ca="1" si="114"/>
        <v>4087</v>
      </c>
      <c r="CS51" s="94">
        <f t="shared" ca="1" si="114"/>
        <v>5093</v>
      </c>
      <c r="CT51" s="94">
        <f t="shared" ca="1" si="114"/>
        <v>4494</v>
      </c>
      <c r="CU51" s="94">
        <f t="shared" ca="1" si="114"/>
        <v>4539</v>
      </c>
      <c r="CV51" s="94">
        <f t="shared" ca="1" si="114"/>
        <v>4634</v>
      </c>
      <c r="CW51" s="94">
        <f t="shared" ca="1" si="114"/>
        <v>3680</v>
      </c>
      <c r="CX51" s="94">
        <f t="shared" ca="1" si="114"/>
        <v>3442</v>
      </c>
      <c r="CY51" s="94">
        <f t="shared" ca="1" si="114"/>
        <v>5412</v>
      </c>
      <c r="CZ51" s="94">
        <f t="shared" ca="1" si="114"/>
        <v>5962</v>
      </c>
      <c r="DA51" s="94">
        <f t="shared" ca="1" si="114"/>
        <v>5422</v>
      </c>
      <c r="DB51" s="94">
        <f t="shared" ca="1" si="115"/>
        <v>6194</v>
      </c>
      <c r="DC51" s="94">
        <f t="shared" ca="1" si="115"/>
        <v>5439</v>
      </c>
      <c r="DD51" s="94">
        <f t="shared" ca="1" si="115"/>
        <v>6753</v>
      </c>
      <c r="DE51" s="94">
        <f t="shared" ca="1" si="115"/>
        <v>6762</v>
      </c>
      <c r="DF51" s="94">
        <f t="shared" ca="1" si="115"/>
        <v>5331</v>
      </c>
      <c r="DG51" s="94">
        <f t="shared" ca="1" si="115"/>
        <v>5087</v>
      </c>
      <c r="DH51" s="94">
        <f t="shared" ca="1" si="115"/>
        <v>7143</v>
      </c>
      <c r="DI51" s="94">
        <f t="shared" ca="1" si="115"/>
        <v>2809</v>
      </c>
      <c r="DJ51" s="94">
        <f t="shared" ca="1" si="115"/>
        <v>2629</v>
      </c>
      <c r="DK51" s="94">
        <f t="shared" ca="1" si="115"/>
        <v>2391</v>
      </c>
      <c r="DL51" s="94">
        <f t="shared" ca="1" si="116"/>
        <v>3170</v>
      </c>
      <c r="DM51" s="94">
        <f t="shared" ca="1" si="116"/>
        <v>2914</v>
      </c>
      <c r="DN51" s="94">
        <f t="shared" ca="1" si="116"/>
        <v>1523</v>
      </c>
      <c r="DO51" s="94">
        <f t="shared" ca="1" si="116"/>
        <v>3617</v>
      </c>
      <c r="DP51" s="94">
        <f t="shared" ca="1" si="116"/>
        <v>2191</v>
      </c>
      <c r="DQ51" s="94">
        <f t="shared" ca="1" si="116"/>
        <v>1924</v>
      </c>
      <c r="DR51" s="94">
        <f t="shared" ca="1" si="116"/>
        <v>573</v>
      </c>
      <c r="DS51" s="94">
        <f t="shared" ca="1" si="116"/>
        <v>754</v>
      </c>
      <c r="DT51" s="94">
        <f t="shared" ca="1" si="116"/>
        <v>1104</v>
      </c>
      <c r="DU51" s="94">
        <f t="shared" ca="1" si="116"/>
        <v>823</v>
      </c>
      <c r="DV51" s="94">
        <f t="shared" ca="1" si="117"/>
        <v>1217</v>
      </c>
      <c r="DW51" s="94">
        <f t="shared" ca="1" si="117"/>
        <v>2495</v>
      </c>
      <c r="DX51" s="94">
        <f t="shared" ca="1" si="117"/>
        <v>3227</v>
      </c>
      <c r="DY51" s="94">
        <f t="shared" ca="1" si="117"/>
        <v>3127</v>
      </c>
      <c r="DZ51" s="94">
        <f t="shared" ca="1" si="117"/>
        <v>2165</v>
      </c>
      <c r="EA51" s="94">
        <f t="shared" ca="1" si="117"/>
        <v>2535</v>
      </c>
      <c r="EB51" s="94">
        <f t="shared" ca="1" si="117"/>
        <v>3569</v>
      </c>
      <c r="EC51" s="94">
        <f t="shared" ca="1" si="117"/>
        <v>3598</v>
      </c>
      <c r="ED51" s="94">
        <f t="shared" ca="1" si="117"/>
        <v>3303</v>
      </c>
      <c r="EE51" s="94">
        <f t="shared" ca="1" si="117"/>
        <v>3187</v>
      </c>
      <c r="EF51" s="94">
        <f t="shared" ca="1" si="118"/>
        <v>3572</v>
      </c>
      <c r="EG51" s="94">
        <f t="shared" ca="1" si="118"/>
        <v>4502</v>
      </c>
      <c r="EH51" s="94">
        <f t="shared" ca="1" si="118"/>
        <v>5746</v>
      </c>
      <c r="EI51" s="94">
        <f t="shared" ca="1" si="118"/>
        <v>2972</v>
      </c>
      <c r="EJ51" s="94">
        <f t="shared" ca="1" si="118"/>
        <v>3344</v>
      </c>
      <c r="EK51" s="94">
        <f t="shared" ca="1" si="118"/>
        <v>2426</v>
      </c>
      <c r="EL51" s="94">
        <f t="shared" ca="1" si="118"/>
        <v>2190</v>
      </c>
    </row>
    <row r="52" spans="2:142" x14ac:dyDescent="0.3">
      <c r="B52" s="110" t="s">
        <v>575</v>
      </c>
      <c r="C52" s="110" t="s">
        <v>409</v>
      </c>
      <c r="D52" s="182" t="str">
        <f>IF(Menu!$D$12="PT",'Dados Financeiros'!B52,'Dados Financeiros'!C52)</f>
        <v>Impostos e contribuições diferidos - CP</v>
      </c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>
        <v>61057</v>
      </c>
      <c r="U52" s="32">
        <v>79048</v>
      </c>
      <c r="V52" s="32"/>
      <c r="W52" s="32">
        <v>85162</v>
      </c>
      <c r="X52" s="32">
        <v>83630</v>
      </c>
      <c r="Y52" s="32">
        <v>84107</v>
      </c>
      <c r="Z52" s="32">
        <v>68104</v>
      </c>
      <c r="AA52" s="32">
        <v>91463</v>
      </c>
      <c r="AB52" s="32">
        <v>71057</v>
      </c>
      <c r="AC52" s="32">
        <v>92699</v>
      </c>
      <c r="AD52" s="32">
        <v>73504</v>
      </c>
      <c r="AE52" s="32">
        <v>60943</v>
      </c>
      <c r="AF52" s="32">
        <v>51078</v>
      </c>
      <c r="AG52" s="32">
        <v>56463</v>
      </c>
      <c r="AH52" s="32">
        <v>57204</v>
      </c>
      <c r="AI52" s="32">
        <v>66228</v>
      </c>
      <c r="AJ52" s="32">
        <v>72166</v>
      </c>
      <c r="AK52" s="32">
        <v>73616</v>
      </c>
      <c r="AL52" s="32">
        <v>76417</v>
      </c>
      <c r="AM52" s="32">
        <v>73596</v>
      </c>
      <c r="AN52" s="32">
        <v>64454</v>
      </c>
      <c r="AO52" s="32">
        <v>60390</v>
      </c>
      <c r="AP52" s="32">
        <v>70134</v>
      </c>
      <c r="AQ52" s="32">
        <v>72074</v>
      </c>
      <c r="AR52" s="32">
        <v>39498</v>
      </c>
      <c r="AS52" s="32">
        <v>41004</v>
      </c>
      <c r="AT52" s="32">
        <v>38814</v>
      </c>
      <c r="AU52" s="32">
        <v>31900</v>
      </c>
      <c r="AV52" s="32">
        <v>28061</v>
      </c>
      <c r="AW52" s="32">
        <v>25015</v>
      </c>
      <c r="AX52" s="32">
        <v>20905</v>
      </c>
      <c r="AY52" s="4">
        <v>15599</v>
      </c>
      <c r="AZ52" s="4">
        <v>14317</v>
      </c>
      <c r="BA52" s="94">
        <v>12442</v>
      </c>
      <c r="BB52" s="4">
        <v>9827</v>
      </c>
      <c r="BC52" s="4">
        <v>6636</v>
      </c>
      <c r="BD52" s="4">
        <v>3799</v>
      </c>
      <c r="BE52" s="4">
        <v>2948</v>
      </c>
      <c r="BF52" s="4">
        <v>2406</v>
      </c>
      <c r="BG52" s="4">
        <v>2852</v>
      </c>
      <c r="BH52" s="4">
        <v>3565</v>
      </c>
      <c r="BI52" s="4">
        <v>2232</v>
      </c>
      <c r="BJ52" s="4">
        <v>2166</v>
      </c>
      <c r="BK52" s="4">
        <v>2150</v>
      </c>
      <c r="BL52" s="4">
        <v>2084</v>
      </c>
      <c r="BM52" s="4">
        <v>1383</v>
      </c>
      <c r="BN52" s="4">
        <v>1625</v>
      </c>
      <c r="BO52" s="4">
        <v>1133</v>
      </c>
      <c r="BP52" s="4">
        <v>1119</v>
      </c>
      <c r="BQ52" s="4">
        <v>1245</v>
      </c>
      <c r="BR52" s="4">
        <v>1743</v>
      </c>
      <c r="BS52" s="4">
        <v>3121</v>
      </c>
      <c r="BT52" s="4">
        <v>3135</v>
      </c>
      <c r="BU52" s="4">
        <v>3549</v>
      </c>
      <c r="BV52" s="4">
        <v>4658</v>
      </c>
      <c r="BW52" s="4">
        <v>5609</v>
      </c>
      <c r="BX52" s="4">
        <v>7129</v>
      </c>
      <c r="BY52" s="4">
        <v>7760</v>
      </c>
      <c r="BZ52" s="4">
        <v>9470</v>
      </c>
      <c r="CA52" s="4">
        <v>7291</v>
      </c>
      <c r="CB52" s="4">
        <v>6977</v>
      </c>
      <c r="CC52" s="4">
        <v>4440</v>
      </c>
      <c r="CD52" s="4">
        <v>3367</v>
      </c>
      <c r="CE52" s="4">
        <v>2664</v>
      </c>
      <c r="CF52" s="4">
        <v>1244</v>
      </c>
      <c r="CH52" s="94">
        <f t="shared" ca="1" si="113"/>
        <v>0</v>
      </c>
      <c r="CI52" s="94">
        <f t="shared" ca="1" si="113"/>
        <v>0</v>
      </c>
      <c r="CJ52" s="94">
        <f t="shared" ca="1" si="113"/>
        <v>0</v>
      </c>
      <c r="CK52" s="94">
        <f t="shared" ca="1" si="113"/>
        <v>0</v>
      </c>
      <c r="CL52" s="94">
        <f t="shared" ca="1" si="113"/>
        <v>0</v>
      </c>
      <c r="CM52" s="94">
        <f t="shared" ca="1" si="113"/>
        <v>0</v>
      </c>
      <c r="CN52" s="94">
        <f t="shared" ca="1" si="113"/>
        <v>0</v>
      </c>
      <c r="CO52" s="94">
        <f t="shared" ca="1" si="113"/>
        <v>0</v>
      </c>
      <c r="CP52" s="94">
        <f t="shared" ca="1" si="113"/>
        <v>0</v>
      </c>
      <c r="CQ52" s="94">
        <f t="shared" ca="1" si="113"/>
        <v>0</v>
      </c>
      <c r="CR52" s="94">
        <f t="shared" ca="1" si="114"/>
        <v>0</v>
      </c>
      <c r="CS52" s="94">
        <f t="shared" ca="1" si="114"/>
        <v>61057</v>
      </c>
      <c r="CT52" s="94">
        <f t="shared" ca="1" si="114"/>
        <v>0</v>
      </c>
      <c r="CU52" s="94">
        <f t="shared" ca="1" si="114"/>
        <v>85162</v>
      </c>
      <c r="CV52" s="94">
        <f t="shared" ca="1" si="114"/>
        <v>83630</v>
      </c>
      <c r="CW52" s="94">
        <f t="shared" ca="1" si="114"/>
        <v>71057</v>
      </c>
      <c r="CX52" s="94">
        <f t="shared" ca="1" si="114"/>
        <v>73504</v>
      </c>
      <c r="CY52" s="94">
        <f t="shared" ca="1" si="114"/>
        <v>51078</v>
      </c>
      <c r="CZ52" s="94">
        <f t="shared" ca="1" si="114"/>
        <v>57204</v>
      </c>
      <c r="DA52" s="94">
        <f t="shared" ca="1" si="114"/>
        <v>66228</v>
      </c>
      <c r="DB52" s="94">
        <f t="shared" ca="1" si="115"/>
        <v>72166</v>
      </c>
      <c r="DC52" s="94">
        <f t="shared" ca="1" si="115"/>
        <v>76417</v>
      </c>
      <c r="DD52" s="94">
        <f t="shared" ca="1" si="115"/>
        <v>73596</v>
      </c>
      <c r="DE52" s="94">
        <f t="shared" ca="1" si="115"/>
        <v>64454</v>
      </c>
      <c r="DF52" s="94">
        <f t="shared" ca="1" si="115"/>
        <v>70134</v>
      </c>
      <c r="DG52" s="94">
        <f t="shared" ca="1" si="115"/>
        <v>72074</v>
      </c>
      <c r="DH52" s="94">
        <f t="shared" ca="1" si="115"/>
        <v>39498</v>
      </c>
      <c r="DI52" s="94">
        <f t="shared" ca="1" si="115"/>
        <v>38814</v>
      </c>
      <c r="DJ52" s="94">
        <f t="shared" ca="1" si="115"/>
        <v>31900</v>
      </c>
      <c r="DK52" s="94">
        <f t="shared" ca="1" si="115"/>
        <v>28061</v>
      </c>
      <c r="DL52" s="94">
        <f t="shared" ca="1" si="116"/>
        <v>20905</v>
      </c>
      <c r="DM52" s="94">
        <f t="shared" ca="1" si="116"/>
        <v>15599</v>
      </c>
      <c r="DN52" s="94">
        <f t="shared" ca="1" si="116"/>
        <v>14317</v>
      </c>
      <c r="DO52" s="94">
        <f t="shared" ca="1" si="116"/>
        <v>9827</v>
      </c>
      <c r="DP52" s="94">
        <f t="shared" ca="1" si="116"/>
        <v>6636</v>
      </c>
      <c r="DQ52" s="94">
        <f t="shared" ca="1" si="116"/>
        <v>3799</v>
      </c>
      <c r="DR52" s="94">
        <f t="shared" ca="1" si="116"/>
        <v>2406</v>
      </c>
      <c r="DS52" s="94">
        <f t="shared" ca="1" si="116"/>
        <v>2852</v>
      </c>
      <c r="DT52" s="94">
        <f t="shared" ca="1" si="116"/>
        <v>3565</v>
      </c>
      <c r="DU52" s="94">
        <f t="shared" ca="1" si="116"/>
        <v>2166</v>
      </c>
      <c r="DV52" s="94">
        <f t="shared" ca="1" si="117"/>
        <v>2150</v>
      </c>
      <c r="DW52" s="94">
        <f t="shared" ca="1" si="117"/>
        <v>2084</v>
      </c>
      <c r="DX52" s="94">
        <f t="shared" ca="1" si="117"/>
        <v>1625</v>
      </c>
      <c r="DY52" s="94">
        <f t="shared" ca="1" si="117"/>
        <v>1133</v>
      </c>
      <c r="DZ52" s="94">
        <f t="shared" ca="1" si="117"/>
        <v>1119</v>
      </c>
      <c r="EA52" s="94">
        <f t="shared" ca="1" si="117"/>
        <v>1743</v>
      </c>
      <c r="EB52" s="94">
        <f t="shared" ca="1" si="117"/>
        <v>3121</v>
      </c>
      <c r="EC52" s="94">
        <f t="shared" ca="1" si="117"/>
        <v>3135</v>
      </c>
      <c r="ED52" s="94">
        <f t="shared" ca="1" si="117"/>
        <v>4658</v>
      </c>
      <c r="EE52" s="94">
        <f t="shared" ca="1" si="117"/>
        <v>5609</v>
      </c>
      <c r="EF52" s="94">
        <f t="shared" ca="1" si="118"/>
        <v>7129</v>
      </c>
      <c r="EG52" s="94">
        <f t="shared" ca="1" si="118"/>
        <v>9470</v>
      </c>
      <c r="EH52" s="94">
        <f t="shared" ca="1" si="118"/>
        <v>7291</v>
      </c>
      <c r="EI52" s="94">
        <f t="shared" ca="1" si="118"/>
        <v>6977</v>
      </c>
      <c r="EJ52" s="94">
        <f t="shared" ca="1" si="118"/>
        <v>3367</v>
      </c>
      <c r="EK52" s="94">
        <f t="shared" ca="1" si="118"/>
        <v>2664</v>
      </c>
      <c r="EL52" s="94">
        <f t="shared" ca="1" si="118"/>
        <v>1244</v>
      </c>
    </row>
    <row r="53" spans="2:142" x14ac:dyDescent="0.3">
      <c r="B53" s="110" t="s">
        <v>74</v>
      </c>
      <c r="C53" s="110" t="s">
        <v>410</v>
      </c>
      <c r="D53" s="182" t="str">
        <f>IF(Menu!$D$12="PT",'Dados Financeiros'!B53,'Dados Financeiros'!C53)</f>
        <v>Aquisição de participação societária a pagar</v>
      </c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>
        <v>25407</v>
      </c>
      <c r="U53" s="32">
        <v>25407</v>
      </c>
      <c r="V53" s="32"/>
      <c r="W53" s="32">
        <v>27711</v>
      </c>
      <c r="X53" s="32">
        <v>26385</v>
      </c>
      <c r="Y53" s="32">
        <v>25407</v>
      </c>
      <c r="Z53" s="32">
        <v>25407</v>
      </c>
      <c r="AA53" s="32">
        <v>25407</v>
      </c>
      <c r="AB53" s="32">
        <v>25407</v>
      </c>
      <c r="AC53" s="32">
        <v>25407</v>
      </c>
      <c r="AD53" s="32">
        <v>25407</v>
      </c>
      <c r="AE53" s="32">
        <v>25407</v>
      </c>
      <c r="AF53" s="32">
        <v>25407</v>
      </c>
      <c r="AG53" s="32">
        <v>25407</v>
      </c>
      <c r="AH53" s="32">
        <v>25407</v>
      </c>
      <c r="AI53" s="32">
        <v>25407</v>
      </c>
      <c r="AJ53" s="32">
        <v>25976</v>
      </c>
      <c r="AK53" s="32">
        <v>25983</v>
      </c>
      <c r="AL53" s="32">
        <v>25995</v>
      </c>
      <c r="AM53" s="32">
        <v>25997</v>
      </c>
      <c r="AN53" s="32">
        <v>26008</v>
      </c>
      <c r="AO53" s="32">
        <v>26019</v>
      </c>
      <c r="AP53" s="32">
        <v>40403</v>
      </c>
      <c r="AQ53" s="32">
        <v>40416</v>
      </c>
      <c r="AR53" s="32">
        <v>40441</v>
      </c>
      <c r="AS53" s="32">
        <v>26091</v>
      </c>
      <c r="AT53" s="32">
        <v>26110</v>
      </c>
      <c r="AU53" s="32">
        <v>26114</v>
      </c>
      <c r="AV53" s="32">
        <v>26119</v>
      </c>
      <c r="AW53" s="32">
        <v>26124</v>
      </c>
      <c r="AX53" s="32">
        <v>26124</v>
      </c>
      <c r="AY53" s="4">
        <v>26128</v>
      </c>
      <c r="AZ53" s="4">
        <v>26140</v>
      </c>
      <c r="BA53" s="94">
        <v>26151</v>
      </c>
      <c r="BB53" s="4">
        <v>26179</v>
      </c>
      <c r="BC53" s="4">
        <v>26201</v>
      </c>
      <c r="BD53" s="4">
        <v>26208</v>
      </c>
      <c r="BE53" s="4">
        <v>26225</v>
      </c>
      <c r="BF53" s="4">
        <v>26243</v>
      </c>
      <c r="BG53" s="4">
        <v>26246</v>
      </c>
      <c r="BH53" s="4">
        <v>11495</v>
      </c>
      <c r="BI53" s="4">
        <v>11510</v>
      </c>
      <c r="BJ53" s="4">
        <v>11520</v>
      </c>
      <c r="BK53" s="4">
        <v>11620</v>
      </c>
      <c r="BL53" s="4">
        <v>11696</v>
      </c>
      <c r="BM53" s="4">
        <v>11784</v>
      </c>
      <c r="BN53" s="4">
        <v>11865</v>
      </c>
      <c r="BO53" s="4">
        <v>11874</v>
      </c>
      <c r="BP53" s="4">
        <v>11882</v>
      </c>
      <c r="BQ53" s="4">
        <v>11940</v>
      </c>
      <c r="BR53" s="4">
        <v>11989</v>
      </c>
      <c r="BS53" s="4">
        <v>14989</v>
      </c>
      <c r="BT53" s="4">
        <v>13630</v>
      </c>
      <c r="BU53" s="4">
        <v>10630</v>
      </c>
      <c r="BV53" s="4">
        <v>10630</v>
      </c>
      <c r="BW53" s="4">
        <v>10630</v>
      </c>
      <c r="BX53" s="4">
        <v>10630</v>
      </c>
      <c r="BY53" s="4">
        <v>11718</v>
      </c>
      <c r="BZ53" s="4">
        <v>10630</v>
      </c>
      <c r="CA53" s="4">
        <v>10630</v>
      </c>
      <c r="CB53" s="4">
        <v>10630</v>
      </c>
      <c r="CC53" s="4">
        <v>10630</v>
      </c>
      <c r="CD53" s="4">
        <v>10630</v>
      </c>
      <c r="CE53" s="4">
        <v>10630</v>
      </c>
      <c r="CF53" s="4">
        <v>0</v>
      </c>
      <c r="CH53" s="94">
        <f t="shared" ca="1" si="113"/>
        <v>0</v>
      </c>
      <c r="CI53" s="94">
        <f t="shared" ca="1" si="113"/>
        <v>0</v>
      </c>
      <c r="CJ53" s="94">
        <f t="shared" ca="1" si="113"/>
        <v>0</v>
      </c>
      <c r="CK53" s="94">
        <f t="shared" ca="1" si="113"/>
        <v>0</v>
      </c>
      <c r="CL53" s="94">
        <f t="shared" ca="1" si="113"/>
        <v>0</v>
      </c>
      <c r="CM53" s="94">
        <f t="shared" ca="1" si="113"/>
        <v>0</v>
      </c>
      <c r="CN53" s="94">
        <f t="shared" ca="1" si="113"/>
        <v>0</v>
      </c>
      <c r="CO53" s="94">
        <f t="shared" ca="1" si="113"/>
        <v>0</v>
      </c>
      <c r="CP53" s="94">
        <f t="shared" ca="1" si="113"/>
        <v>0</v>
      </c>
      <c r="CQ53" s="94">
        <f t="shared" ca="1" si="113"/>
        <v>0</v>
      </c>
      <c r="CR53" s="94">
        <f t="shared" ca="1" si="114"/>
        <v>0</v>
      </c>
      <c r="CS53" s="94">
        <f t="shared" ca="1" si="114"/>
        <v>25407</v>
      </c>
      <c r="CT53" s="94">
        <f t="shared" ca="1" si="114"/>
        <v>0</v>
      </c>
      <c r="CU53" s="94">
        <f t="shared" ca="1" si="114"/>
        <v>27711</v>
      </c>
      <c r="CV53" s="94">
        <f t="shared" ca="1" si="114"/>
        <v>26385</v>
      </c>
      <c r="CW53" s="94">
        <f t="shared" ca="1" si="114"/>
        <v>25407</v>
      </c>
      <c r="CX53" s="94">
        <f t="shared" ca="1" si="114"/>
        <v>25407</v>
      </c>
      <c r="CY53" s="94">
        <f t="shared" ca="1" si="114"/>
        <v>25407</v>
      </c>
      <c r="CZ53" s="94">
        <f t="shared" ca="1" si="114"/>
        <v>25407</v>
      </c>
      <c r="DA53" s="94">
        <f t="shared" ca="1" si="114"/>
        <v>25407</v>
      </c>
      <c r="DB53" s="94">
        <f t="shared" ca="1" si="115"/>
        <v>25976</v>
      </c>
      <c r="DC53" s="94">
        <f t="shared" ca="1" si="115"/>
        <v>25995</v>
      </c>
      <c r="DD53" s="94">
        <f t="shared" ca="1" si="115"/>
        <v>25997</v>
      </c>
      <c r="DE53" s="94">
        <f t="shared" ca="1" si="115"/>
        <v>26008</v>
      </c>
      <c r="DF53" s="94">
        <f t="shared" ca="1" si="115"/>
        <v>40403</v>
      </c>
      <c r="DG53" s="94">
        <f t="shared" ca="1" si="115"/>
        <v>40416</v>
      </c>
      <c r="DH53" s="94">
        <f t="shared" ca="1" si="115"/>
        <v>40441</v>
      </c>
      <c r="DI53" s="94">
        <f t="shared" ca="1" si="115"/>
        <v>26110</v>
      </c>
      <c r="DJ53" s="94">
        <f t="shared" ca="1" si="115"/>
        <v>26114</v>
      </c>
      <c r="DK53" s="94">
        <f t="shared" ca="1" si="115"/>
        <v>26119</v>
      </c>
      <c r="DL53" s="94">
        <f t="shared" ca="1" si="116"/>
        <v>26124</v>
      </c>
      <c r="DM53" s="94">
        <f t="shared" ca="1" si="116"/>
        <v>26128</v>
      </c>
      <c r="DN53" s="94">
        <f t="shared" ca="1" si="116"/>
        <v>26140</v>
      </c>
      <c r="DO53" s="94">
        <f t="shared" ca="1" si="116"/>
        <v>26179</v>
      </c>
      <c r="DP53" s="94">
        <f t="shared" ca="1" si="116"/>
        <v>26201</v>
      </c>
      <c r="DQ53" s="94">
        <f t="shared" ca="1" si="116"/>
        <v>26208</v>
      </c>
      <c r="DR53" s="94">
        <f t="shared" ca="1" si="116"/>
        <v>26243</v>
      </c>
      <c r="DS53" s="94">
        <f t="shared" ca="1" si="116"/>
        <v>26246</v>
      </c>
      <c r="DT53" s="94">
        <f t="shared" ca="1" si="116"/>
        <v>11495</v>
      </c>
      <c r="DU53" s="94">
        <f t="shared" ca="1" si="116"/>
        <v>11520</v>
      </c>
      <c r="DV53" s="94">
        <f t="shared" ca="1" si="117"/>
        <v>11620</v>
      </c>
      <c r="DW53" s="94">
        <f t="shared" ca="1" si="117"/>
        <v>11696</v>
      </c>
      <c r="DX53" s="94">
        <f t="shared" ca="1" si="117"/>
        <v>11865</v>
      </c>
      <c r="DY53" s="94">
        <f t="shared" ca="1" si="117"/>
        <v>11874</v>
      </c>
      <c r="DZ53" s="94">
        <f t="shared" ca="1" si="117"/>
        <v>11882</v>
      </c>
      <c r="EA53" s="94">
        <f t="shared" ca="1" si="117"/>
        <v>11989</v>
      </c>
      <c r="EB53" s="94">
        <f t="shared" ca="1" si="117"/>
        <v>14989</v>
      </c>
      <c r="EC53" s="94">
        <f t="shared" ca="1" si="117"/>
        <v>13630</v>
      </c>
      <c r="ED53" s="94">
        <f t="shared" ca="1" si="117"/>
        <v>10630</v>
      </c>
      <c r="EE53" s="94">
        <f t="shared" ca="1" si="117"/>
        <v>10630</v>
      </c>
      <c r="EF53" s="94">
        <f t="shared" ca="1" si="118"/>
        <v>10630</v>
      </c>
      <c r="EG53" s="94">
        <f t="shared" ca="1" si="118"/>
        <v>10630</v>
      </c>
      <c r="EH53" s="94">
        <f t="shared" ca="1" si="118"/>
        <v>10630</v>
      </c>
      <c r="EI53" s="94">
        <f t="shared" ca="1" si="118"/>
        <v>10630</v>
      </c>
      <c r="EJ53" s="94">
        <f t="shared" ca="1" si="118"/>
        <v>10630</v>
      </c>
      <c r="EK53" s="94">
        <f t="shared" ca="1" si="118"/>
        <v>10630</v>
      </c>
      <c r="EL53" s="94">
        <f t="shared" ca="1" si="118"/>
        <v>0</v>
      </c>
    </row>
    <row r="54" spans="2:142" x14ac:dyDescent="0.3">
      <c r="B54" s="110" t="s">
        <v>576</v>
      </c>
      <c r="C54" s="110" t="s">
        <v>411</v>
      </c>
      <c r="D54" s="183" t="str">
        <f>IF(Menu!$D$12="PT",'Dados Financeiros'!B54,'Dados Financeiros'!C54)</f>
        <v>Provisão para garantias - CP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94">
        <v>3615</v>
      </c>
      <c r="BB54" s="4">
        <v>3082</v>
      </c>
      <c r="BC54" s="4">
        <v>2784</v>
      </c>
      <c r="BD54" s="4">
        <v>2543</v>
      </c>
      <c r="BE54" s="4">
        <v>2254</v>
      </c>
      <c r="BF54" s="4">
        <v>2084</v>
      </c>
      <c r="BG54" s="4">
        <v>3280</v>
      </c>
      <c r="BH54" s="4">
        <v>5551</v>
      </c>
      <c r="BI54" s="4">
        <v>5714</v>
      </c>
      <c r="BJ54" s="4">
        <v>7971</v>
      </c>
      <c r="BK54" s="4">
        <v>8375</v>
      </c>
      <c r="BL54" s="4">
        <v>8234</v>
      </c>
      <c r="BM54" s="4">
        <v>7037</v>
      </c>
      <c r="BN54" s="4">
        <v>6366</v>
      </c>
      <c r="BO54" s="4">
        <v>5642</v>
      </c>
      <c r="BP54" s="4">
        <v>4781</v>
      </c>
      <c r="BQ54" s="4">
        <v>4177</v>
      </c>
      <c r="BR54" s="4">
        <v>2972</v>
      </c>
      <c r="BS54" s="4">
        <v>2712</v>
      </c>
      <c r="BT54" s="4">
        <v>1654</v>
      </c>
      <c r="BU54" s="4">
        <v>1332</v>
      </c>
      <c r="BV54" s="4">
        <v>941</v>
      </c>
      <c r="BW54" s="4">
        <v>436</v>
      </c>
      <c r="BX54" s="4">
        <v>7769</v>
      </c>
      <c r="BY54" s="4">
        <v>6825</v>
      </c>
      <c r="BZ54" s="4">
        <v>5445</v>
      </c>
      <c r="CA54" s="4">
        <v>3210</v>
      </c>
      <c r="CB54" s="4">
        <v>1962</v>
      </c>
      <c r="CC54" s="4">
        <v>1780</v>
      </c>
      <c r="CD54" s="4">
        <v>2008</v>
      </c>
      <c r="CE54" s="4">
        <v>1920</v>
      </c>
      <c r="CF54" s="4">
        <v>3221</v>
      </c>
      <c r="CH54" s="94">
        <f t="shared" ca="1" si="113"/>
        <v>0</v>
      </c>
      <c r="CI54" s="94">
        <f t="shared" ca="1" si="113"/>
        <v>0</v>
      </c>
      <c r="CJ54" s="94">
        <f t="shared" ca="1" si="113"/>
        <v>0</v>
      </c>
      <c r="CK54" s="94">
        <f t="shared" ca="1" si="113"/>
        <v>0</v>
      </c>
      <c r="CL54" s="94">
        <f t="shared" ca="1" si="113"/>
        <v>0</v>
      </c>
      <c r="CM54" s="94">
        <f t="shared" ca="1" si="113"/>
        <v>0</v>
      </c>
      <c r="CN54" s="94">
        <f t="shared" ca="1" si="113"/>
        <v>0</v>
      </c>
      <c r="CO54" s="94">
        <f t="shared" ca="1" si="113"/>
        <v>0</v>
      </c>
      <c r="CP54" s="94">
        <f t="shared" ca="1" si="113"/>
        <v>0</v>
      </c>
      <c r="CQ54" s="94">
        <f t="shared" ca="1" si="113"/>
        <v>0</v>
      </c>
      <c r="CR54" s="94">
        <f t="shared" ca="1" si="114"/>
        <v>0</v>
      </c>
      <c r="CS54" s="94">
        <f t="shared" ca="1" si="114"/>
        <v>0</v>
      </c>
      <c r="CT54" s="94">
        <f t="shared" ca="1" si="114"/>
        <v>0</v>
      </c>
      <c r="CU54" s="94">
        <f t="shared" ca="1" si="114"/>
        <v>0</v>
      </c>
      <c r="CV54" s="94">
        <f t="shared" ca="1" si="114"/>
        <v>0</v>
      </c>
      <c r="CW54" s="94">
        <f t="shared" ca="1" si="114"/>
        <v>0</v>
      </c>
      <c r="CX54" s="94">
        <f t="shared" ca="1" si="114"/>
        <v>0</v>
      </c>
      <c r="CY54" s="94">
        <f t="shared" ca="1" si="114"/>
        <v>0</v>
      </c>
      <c r="CZ54" s="94">
        <f t="shared" ca="1" si="114"/>
        <v>0</v>
      </c>
      <c r="DA54" s="94">
        <f t="shared" ca="1" si="114"/>
        <v>0</v>
      </c>
      <c r="DB54" s="94">
        <f t="shared" ca="1" si="115"/>
        <v>0</v>
      </c>
      <c r="DC54" s="94">
        <f t="shared" ca="1" si="115"/>
        <v>0</v>
      </c>
      <c r="DD54" s="94">
        <f t="shared" ca="1" si="115"/>
        <v>0</v>
      </c>
      <c r="DE54" s="94">
        <f t="shared" ca="1" si="115"/>
        <v>0</v>
      </c>
      <c r="DF54" s="94">
        <f t="shared" ca="1" si="115"/>
        <v>0</v>
      </c>
      <c r="DG54" s="94">
        <f t="shared" ca="1" si="115"/>
        <v>0</v>
      </c>
      <c r="DH54" s="94">
        <f t="shared" ca="1" si="115"/>
        <v>0</v>
      </c>
      <c r="DI54" s="94">
        <f t="shared" ca="1" si="115"/>
        <v>0</v>
      </c>
      <c r="DJ54" s="94">
        <f t="shared" ca="1" si="115"/>
        <v>0</v>
      </c>
      <c r="DK54" s="94">
        <f t="shared" ca="1" si="115"/>
        <v>0</v>
      </c>
      <c r="DL54" s="94">
        <f t="shared" ca="1" si="116"/>
        <v>0</v>
      </c>
      <c r="DM54" s="94">
        <f t="shared" ca="1" si="116"/>
        <v>0</v>
      </c>
      <c r="DN54" s="94">
        <f t="shared" ca="1" si="116"/>
        <v>0</v>
      </c>
      <c r="DO54" s="94">
        <f t="shared" ca="1" si="116"/>
        <v>3082</v>
      </c>
      <c r="DP54" s="94">
        <f t="shared" ca="1" si="116"/>
        <v>2784</v>
      </c>
      <c r="DQ54" s="94">
        <f t="shared" ca="1" si="116"/>
        <v>2543</v>
      </c>
      <c r="DR54" s="94">
        <f t="shared" ca="1" si="116"/>
        <v>2084</v>
      </c>
      <c r="DS54" s="94">
        <f t="shared" ca="1" si="116"/>
        <v>3280</v>
      </c>
      <c r="DT54" s="94">
        <f t="shared" ca="1" si="116"/>
        <v>5551</v>
      </c>
      <c r="DU54" s="94">
        <f t="shared" ca="1" si="116"/>
        <v>7971</v>
      </c>
      <c r="DV54" s="94">
        <f t="shared" ca="1" si="117"/>
        <v>8375</v>
      </c>
      <c r="DW54" s="94">
        <f t="shared" ca="1" si="117"/>
        <v>8234</v>
      </c>
      <c r="DX54" s="94">
        <f t="shared" ca="1" si="117"/>
        <v>6366</v>
      </c>
      <c r="DY54" s="94">
        <f t="shared" ca="1" si="117"/>
        <v>5642</v>
      </c>
      <c r="DZ54" s="94">
        <f t="shared" ca="1" si="117"/>
        <v>4781</v>
      </c>
      <c r="EA54" s="94">
        <f t="shared" ca="1" si="117"/>
        <v>2972</v>
      </c>
      <c r="EB54" s="94">
        <f t="shared" ca="1" si="117"/>
        <v>2712</v>
      </c>
      <c r="EC54" s="94">
        <f t="shared" ca="1" si="117"/>
        <v>1654</v>
      </c>
      <c r="ED54" s="94">
        <f t="shared" ca="1" si="117"/>
        <v>941</v>
      </c>
      <c r="EE54" s="94">
        <f t="shared" ca="1" si="117"/>
        <v>436</v>
      </c>
      <c r="EF54" s="94">
        <f t="shared" ca="1" si="118"/>
        <v>7769</v>
      </c>
      <c r="EG54" s="94">
        <f t="shared" ca="1" si="118"/>
        <v>5445</v>
      </c>
      <c r="EH54" s="94">
        <f t="shared" ca="1" si="118"/>
        <v>3210</v>
      </c>
      <c r="EI54" s="94">
        <f t="shared" ca="1" si="118"/>
        <v>1962</v>
      </c>
      <c r="EJ54" s="94">
        <f t="shared" ca="1" si="118"/>
        <v>2008</v>
      </c>
      <c r="EK54" s="94">
        <f t="shared" ca="1" si="118"/>
        <v>1920</v>
      </c>
      <c r="EL54" s="94">
        <f t="shared" ca="1" si="118"/>
        <v>3221</v>
      </c>
    </row>
    <row r="55" spans="2:142" ht="14.4" thickBot="1" x14ac:dyDescent="0.35">
      <c r="B55" s="112" t="s">
        <v>577</v>
      </c>
      <c r="C55" s="112" t="s">
        <v>412</v>
      </c>
      <c r="D55" s="184" t="str">
        <f>IF(Menu!$D$12="PT",'Dados Financeiros'!B55,'Dados Financeiros'!C55)</f>
        <v>Outras contas a pagar - CP</v>
      </c>
      <c r="E55" s="36">
        <v>4534</v>
      </c>
      <c r="F55" s="36">
        <v>5000</v>
      </c>
      <c r="G55" s="36">
        <v>6625</v>
      </c>
      <c r="H55" s="36">
        <v>39214</v>
      </c>
      <c r="I55" s="36">
        <v>27466</v>
      </c>
      <c r="J55" s="36">
        <v>28487</v>
      </c>
      <c r="K55" s="36">
        <v>29753</v>
      </c>
      <c r="L55" s="36">
        <v>30660</v>
      </c>
      <c r="M55" s="36">
        <v>31798</v>
      </c>
      <c r="N55" s="36">
        <v>32998</v>
      </c>
      <c r="O55" s="36">
        <v>34021</v>
      </c>
      <c r="P55" s="36">
        <v>61256</v>
      </c>
      <c r="Q55" s="36">
        <v>27082</v>
      </c>
      <c r="R55" s="36">
        <f>33948+40815-4664</f>
        <v>70099</v>
      </c>
      <c r="S55" s="36">
        <v>80948</v>
      </c>
      <c r="T55" s="36">
        <v>4577</v>
      </c>
      <c r="U55" s="36">
        <v>4572</v>
      </c>
      <c r="V55" s="36">
        <f>76514+25407+4503</f>
        <v>106424</v>
      </c>
      <c r="W55" s="36">
        <v>5303</v>
      </c>
      <c r="X55" s="36">
        <v>8848</v>
      </c>
      <c r="Y55" s="36">
        <v>9621</v>
      </c>
      <c r="Z55" s="36">
        <v>6176</v>
      </c>
      <c r="AA55" s="36">
        <v>16292</v>
      </c>
      <c r="AB55" s="36">
        <v>5855</v>
      </c>
      <c r="AC55" s="36">
        <v>39795</v>
      </c>
      <c r="AD55" s="36">
        <v>25188</v>
      </c>
      <c r="AE55" s="36">
        <v>49296</v>
      </c>
      <c r="AF55" s="36">
        <v>29243</v>
      </c>
      <c r="AG55" s="36">
        <v>28753</v>
      </c>
      <c r="AH55" s="36">
        <v>31799</v>
      </c>
      <c r="AI55" s="36">
        <v>28701</v>
      </c>
      <c r="AJ55" s="36">
        <v>26371</v>
      </c>
      <c r="AK55" s="36">
        <v>33041</v>
      </c>
      <c r="AL55" s="36">
        <v>35084</v>
      </c>
      <c r="AM55" s="36">
        <v>38440</v>
      </c>
      <c r="AN55" s="36">
        <v>37104</v>
      </c>
      <c r="AO55" s="91">
        <v>36885</v>
      </c>
      <c r="AP55" s="91">
        <v>31386</v>
      </c>
      <c r="AQ55" s="36">
        <v>32522</v>
      </c>
      <c r="AR55" s="36">
        <v>51630</v>
      </c>
      <c r="AS55" s="36">
        <v>49975</v>
      </c>
      <c r="AT55" s="36">
        <v>42988</v>
      </c>
      <c r="AU55" s="36">
        <v>49459</v>
      </c>
      <c r="AV55" s="36">
        <v>54552</v>
      </c>
      <c r="AW55" s="36">
        <v>65385</v>
      </c>
      <c r="AX55" s="36">
        <v>65691</v>
      </c>
      <c r="AY55" s="36">
        <v>66576</v>
      </c>
      <c r="AZ55" s="36">
        <v>62537</v>
      </c>
      <c r="BA55" s="36">
        <v>65819</v>
      </c>
      <c r="BB55" s="4">
        <v>59451</v>
      </c>
      <c r="BC55" s="4">
        <v>68701</v>
      </c>
      <c r="BD55" s="4">
        <v>67299</v>
      </c>
      <c r="BE55" s="4">
        <v>67151</v>
      </c>
      <c r="BF55" s="4">
        <v>62828</v>
      </c>
      <c r="BG55" s="4">
        <v>54490</v>
      </c>
      <c r="BH55" s="4">
        <v>23093</v>
      </c>
      <c r="BI55" s="4">
        <v>18140</v>
      </c>
      <c r="BJ55" s="4">
        <v>23029</v>
      </c>
      <c r="BK55" s="4">
        <v>18361</v>
      </c>
      <c r="BL55" s="4">
        <v>15836</v>
      </c>
      <c r="BM55" s="4">
        <v>12453</v>
      </c>
      <c r="BN55" s="4">
        <v>11489</v>
      </c>
      <c r="BO55" s="4">
        <v>9738</v>
      </c>
      <c r="BP55" s="4">
        <v>6274</v>
      </c>
      <c r="BQ55" s="4">
        <v>5967</v>
      </c>
      <c r="BR55" s="4">
        <v>7855</v>
      </c>
      <c r="BS55" s="4">
        <v>5707</v>
      </c>
      <c r="BT55" s="4">
        <v>5560</v>
      </c>
      <c r="BU55" s="4">
        <v>3703</v>
      </c>
      <c r="BV55" s="4">
        <v>11025</v>
      </c>
      <c r="BW55" s="4">
        <v>4499</v>
      </c>
      <c r="BX55" s="4">
        <v>10494</v>
      </c>
      <c r="BY55" s="4">
        <v>4008</v>
      </c>
      <c r="BZ55" s="4">
        <v>14583</v>
      </c>
      <c r="CA55" s="4">
        <v>8272</v>
      </c>
      <c r="CB55" s="4">
        <v>29119</v>
      </c>
      <c r="CC55" s="4">
        <v>30138</v>
      </c>
      <c r="CD55" s="4">
        <v>26446</v>
      </c>
      <c r="CE55" s="4">
        <v>21893</v>
      </c>
      <c r="CF55" s="4">
        <v>21522</v>
      </c>
      <c r="CH55" s="94">
        <f t="shared" ca="1" si="113"/>
        <v>5000</v>
      </c>
      <c r="CI55" s="94">
        <f t="shared" ca="1" si="113"/>
        <v>6625</v>
      </c>
      <c r="CJ55" s="94">
        <f t="shared" ca="1" si="113"/>
        <v>39214</v>
      </c>
      <c r="CK55" s="94">
        <f t="shared" ca="1" si="113"/>
        <v>28487</v>
      </c>
      <c r="CL55" s="94">
        <f t="shared" ca="1" si="113"/>
        <v>29753</v>
      </c>
      <c r="CM55" s="94">
        <f t="shared" ca="1" si="113"/>
        <v>30660</v>
      </c>
      <c r="CN55" s="94">
        <f t="shared" ca="1" si="113"/>
        <v>32998</v>
      </c>
      <c r="CO55" s="94">
        <f t="shared" ca="1" si="113"/>
        <v>34021</v>
      </c>
      <c r="CP55" s="94">
        <f t="shared" ca="1" si="113"/>
        <v>61256</v>
      </c>
      <c r="CQ55" s="94">
        <f t="shared" ca="1" si="113"/>
        <v>70099</v>
      </c>
      <c r="CR55" s="94">
        <f t="shared" ca="1" si="114"/>
        <v>80948</v>
      </c>
      <c r="CS55" s="94">
        <f t="shared" ca="1" si="114"/>
        <v>4577</v>
      </c>
      <c r="CT55" s="94">
        <f t="shared" ca="1" si="114"/>
        <v>106424</v>
      </c>
      <c r="CU55" s="94">
        <f t="shared" ca="1" si="114"/>
        <v>5303</v>
      </c>
      <c r="CV55" s="94">
        <f t="shared" ca="1" si="114"/>
        <v>8848</v>
      </c>
      <c r="CW55" s="94">
        <f t="shared" ca="1" si="114"/>
        <v>5855</v>
      </c>
      <c r="CX55" s="94">
        <f t="shared" ca="1" si="114"/>
        <v>25188</v>
      </c>
      <c r="CY55" s="94">
        <f t="shared" ca="1" si="114"/>
        <v>29243</v>
      </c>
      <c r="CZ55" s="94">
        <f t="shared" ca="1" si="114"/>
        <v>31799</v>
      </c>
      <c r="DA55" s="94">
        <f t="shared" ca="1" si="114"/>
        <v>28701</v>
      </c>
      <c r="DB55" s="94">
        <f t="shared" ca="1" si="115"/>
        <v>26371</v>
      </c>
      <c r="DC55" s="94">
        <f t="shared" ca="1" si="115"/>
        <v>35084</v>
      </c>
      <c r="DD55" s="94">
        <f t="shared" ca="1" si="115"/>
        <v>38440</v>
      </c>
      <c r="DE55" s="94">
        <f t="shared" ca="1" si="115"/>
        <v>37104</v>
      </c>
      <c r="DF55" s="94">
        <f t="shared" ca="1" si="115"/>
        <v>31386</v>
      </c>
      <c r="DG55" s="94">
        <f t="shared" ca="1" si="115"/>
        <v>32522</v>
      </c>
      <c r="DH55" s="94">
        <f t="shared" ca="1" si="115"/>
        <v>51630</v>
      </c>
      <c r="DI55" s="94">
        <f t="shared" ca="1" si="115"/>
        <v>42988</v>
      </c>
      <c r="DJ55" s="94">
        <f t="shared" ca="1" si="115"/>
        <v>49459</v>
      </c>
      <c r="DK55" s="94">
        <f t="shared" ca="1" si="115"/>
        <v>54552</v>
      </c>
      <c r="DL55" s="94">
        <f t="shared" ca="1" si="116"/>
        <v>65691</v>
      </c>
      <c r="DM55" s="94">
        <f t="shared" ca="1" si="116"/>
        <v>66576</v>
      </c>
      <c r="DN55" s="94">
        <f t="shared" ca="1" si="116"/>
        <v>62537</v>
      </c>
      <c r="DO55" s="94">
        <f t="shared" ca="1" si="116"/>
        <v>59451</v>
      </c>
      <c r="DP55" s="94">
        <f t="shared" ca="1" si="116"/>
        <v>68701</v>
      </c>
      <c r="DQ55" s="94">
        <f t="shared" ca="1" si="116"/>
        <v>67299</v>
      </c>
      <c r="DR55" s="94">
        <f t="shared" ca="1" si="116"/>
        <v>62828</v>
      </c>
      <c r="DS55" s="94">
        <f t="shared" ca="1" si="116"/>
        <v>54490</v>
      </c>
      <c r="DT55" s="94">
        <f t="shared" ca="1" si="116"/>
        <v>23093</v>
      </c>
      <c r="DU55" s="94">
        <f t="shared" ca="1" si="116"/>
        <v>23029</v>
      </c>
      <c r="DV55" s="94">
        <f t="shared" ca="1" si="117"/>
        <v>18361</v>
      </c>
      <c r="DW55" s="94">
        <f t="shared" ca="1" si="117"/>
        <v>15836</v>
      </c>
      <c r="DX55" s="94">
        <f t="shared" ca="1" si="117"/>
        <v>11489</v>
      </c>
      <c r="DY55" s="94">
        <f t="shared" ca="1" si="117"/>
        <v>9738</v>
      </c>
      <c r="DZ55" s="94">
        <f t="shared" ca="1" si="117"/>
        <v>6274</v>
      </c>
      <c r="EA55" s="94">
        <f t="shared" ca="1" si="117"/>
        <v>7855</v>
      </c>
      <c r="EB55" s="94">
        <f t="shared" ca="1" si="117"/>
        <v>5707</v>
      </c>
      <c r="EC55" s="94">
        <f t="shared" ca="1" si="117"/>
        <v>5560</v>
      </c>
      <c r="ED55" s="94">
        <f t="shared" ca="1" si="117"/>
        <v>11025</v>
      </c>
      <c r="EE55" s="94">
        <f t="shared" ca="1" si="117"/>
        <v>4499</v>
      </c>
      <c r="EF55" s="94">
        <f t="shared" ca="1" si="118"/>
        <v>10494</v>
      </c>
      <c r="EG55" s="94">
        <f t="shared" ca="1" si="118"/>
        <v>14583</v>
      </c>
      <c r="EH55" s="94">
        <f t="shared" ca="1" si="118"/>
        <v>8272</v>
      </c>
      <c r="EI55" s="94">
        <f t="shared" ca="1" si="118"/>
        <v>29119</v>
      </c>
      <c r="EJ55" s="94">
        <f t="shared" ca="1" si="118"/>
        <v>26446</v>
      </c>
      <c r="EK55" s="94">
        <f t="shared" ca="1" si="118"/>
        <v>21893</v>
      </c>
      <c r="EL55" s="94">
        <f t="shared" ca="1" si="118"/>
        <v>21522</v>
      </c>
    </row>
    <row r="56" spans="2:142" x14ac:dyDescent="0.3">
      <c r="B56" s="12"/>
      <c r="C56" s="113"/>
      <c r="D56" s="186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</row>
    <row r="57" spans="2:142" ht="14.4" thickBot="1" x14ac:dyDescent="0.35">
      <c r="B57" s="40" t="s">
        <v>73</v>
      </c>
      <c r="C57" s="40" t="s">
        <v>413</v>
      </c>
      <c r="D57" s="181" t="str">
        <f>IF(Menu!$D$12="PT",'Dados Financeiros'!B57,'Dados Financeiros'!C57)</f>
        <v>Não circulante</v>
      </c>
      <c r="E57" s="20">
        <f t="shared" ref="E57:AJ57" si="119">SUM(E58:E66)</f>
        <v>147383</v>
      </c>
      <c r="F57" s="20">
        <f t="shared" si="119"/>
        <v>146283</v>
      </c>
      <c r="G57" s="20">
        <f t="shared" si="119"/>
        <v>166149</v>
      </c>
      <c r="H57" s="20">
        <f t="shared" si="119"/>
        <v>147204</v>
      </c>
      <c r="I57" s="20">
        <f t="shared" si="119"/>
        <v>213193</v>
      </c>
      <c r="J57" s="20">
        <f t="shared" si="119"/>
        <v>285178</v>
      </c>
      <c r="K57" s="20">
        <f t="shared" si="119"/>
        <v>302245</v>
      </c>
      <c r="L57" s="20">
        <f t="shared" si="119"/>
        <v>333736</v>
      </c>
      <c r="M57" s="20">
        <f t="shared" si="119"/>
        <v>355424</v>
      </c>
      <c r="N57" s="20">
        <f t="shared" si="119"/>
        <v>354809</v>
      </c>
      <c r="O57" s="20">
        <f t="shared" si="119"/>
        <v>334485</v>
      </c>
      <c r="P57" s="20">
        <f t="shared" si="119"/>
        <v>638734</v>
      </c>
      <c r="Q57" s="20">
        <f t="shared" si="119"/>
        <v>752971</v>
      </c>
      <c r="R57" s="20">
        <f t="shared" si="119"/>
        <v>666795</v>
      </c>
      <c r="S57" s="20">
        <f t="shared" si="119"/>
        <v>840852</v>
      </c>
      <c r="T57" s="20">
        <f t="shared" si="119"/>
        <v>1083465</v>
      </c>
      <c r="U57" s="20">
        <f t="shared" si="119"/>
        <v>970687</v>
      </c>
      <c r="V57" s="20">
        <f t="shared" si="119"/>
        <v>867162</v>
      </c>
      <c r="W57" s="20">
        <f t="shared" si="119"/>
        <v>1075750</v>
      </c>
      <c r="X57" s="20">
        <f t="shared" si="119"/>
        <v>1244460</v>
      </c>
      <c r="Y57" s="20">
        <f t="shared" si="119"/>
        <v>1345135</v>
      </c>
      <c r="Z57" s="20">
        <f t="shared" si="119"/>
        <v>1246396</v>
      </c>
      <c r="AA57" s="20">
        <f t="shared" si="119"/>
        <v>1432298</v>
      </c>
      <c r="AB57" s="20">
        <f t="shared" si="119"/>
        <v>1321807</v>
      </c>
      <c r="AC57" s="20">
        <f t="shared" si="119"/>
        <v>1395879</v>
      </c>
      <c r="AD57" s="20">
        <f t="shared" si="119"/>
        <v>1266869</v>
      </c>
      <c r="AE57" s="20">
        <f t="shared" si="119"/>
        <v>1327277</v>
      </c>
      <c r="AF57" s="20">
        <f t="shared" si="119"/>
        <v>1266129</v>
      </c>
      <c r="AG57" s="20">
        <f t="shared" si="119"/>
        <v>1513465</v>
      </c>
      <c r="AH57" s="20">
        <f t="shared" si="119"/>
        <v>1723636</v>
      </c>
      <c r="AI57" s="20">
        <f t="shared" si="119"/>
        <v>1415171</v>
      </c>
      <c r="AJ57" s="20">
        <f t="shared" si="119"/>
        <v>1490924</v>
      </c>
      <c r="AK57" s="20">
        <f t="shared" ref="AK57:BC57" si="120">SUM(AK58:AK66)</f>
        <v>1465688</v>
      </c>
      <c r="AL57" s="20">
        <f t="shared" si="120"/>
        <v>1534436</v>
      </c>
      <c r="AM57" s="20">
        <f t="shared" si="120"/>
        <v>1478157</v>
      </c>
      <c r="AN57" s="20">
        <f t="shared" si="120"/>
        <v>1264484</v>
      </c>
      <c r="AO57" s="20">
        <f t="shared" si="120"/>
        <v>1201535</v>
      </c>
      <c r="AP57" s="20">
        <f t="shared" si="120"/>
        <v>1484981</v>
      </c>
      <c r="AQ57" s="20">
        <f t="shared" si="120"/>
        <v>1179280</v>
      </c>
      <c r="AR57" s="20">
        <f t="shared" si="120"/>
        <v>742103</v>
      </c>
      <c r="AS57" s="20">
        <f t="shared" si="120"/>
        <v>730833</v>
      </c>
      <c r="AT57" s="20">
        <f t="shared" si="120"/>
        <v>685660</v>
      </c>
      <c r="AU57" s="20">
        <f t="shared" si="120"/>
        <v>584211</v>
      </c>
      <c r="AV57" s="20">
        <f t="shared" si="120"/>
        <v>627990</v>
      </c>
      <c r="AW57" s="20">
        <f t="shared" si="120"/>
        <v>449253</v>
      </c>
      <c r="AX57" s="20">
        <f t="shared" si="120"/>
        <v>568694</v>
      </c>
      <c r="AY57" s="20">
        <f t="shared" si="120"/>
        <v>623692</v>
      </c>
      <c r="AZ57" s="20">
        <f t="shared" si="120"/>
        <v>653998</v>
      </c>
      <c r="BA57" s="20">
        <f t="shared" si="120"/>
        <v>660571</v>
      </c>
      <c r="BB57" s="20">
        <f t="shared" ref="BB57" si="121">SUM(BB58:BB66)</f>
        <v>672747</v>
      </c>
      <c r="BC57" s="20">
        <f t="shared" si="120"/>
        <v>625956</v>
      </c>
      <c r="BD57" s="20">
        <f t="shared" ref="BD57:BE57" si="122">SUM(BD58:BD66)</f>
        <v>625062</v>
      </c>
      <c r="BE57" s="20">
        <f t="shared" si="122"/>
        <v>568656</v>
      </c>
      <c r="BF57" s="20">
        <f t="shared" ref="BF57:BG57" si="123">SUM(BF58:BF66)</f>
        <v>520599</v>
      </c>
      <c r="BG57" s="20">
        <f t="shared" si="123"/>
        <v>416625</v>
      </c>
      <c r="BH57" s="20">
        <f t="shared" ref="BH57:BN57" si="124">SUM(BH58:BH66)</f>
        <v>420110</v>
      </c>
      <c r="BI57" s="20">
        <f t="shared" si="124"/>
        <v>401548</v>
      </c>
      <c r="BJ57" s="20">
        <f>SUM(BJ58:BJ66)</f>
        <v>458112</v>
      </c>
      <c r="BK57" s="20">
        <f t="shared" si="124"/>
        <v>545736</v>
      </c>
      <c r="BL57" s="20">
        <f t="shared" si="124"/>
        <v>652668</v>
      </c>
      <c r="BM57" s="20">
        <f t="shared" si="124"/>
        <v>661544</v>
      </c>
      <c r="BN57" s="20">
        <f t="shared" si="124"/>
        <v>628753</v>
      </c>
      <c r="BO57" s="20">
        <v>635046</v>
      </c>
      <c r="BP57" s="20">
        <f t="shared" ref="BP57" si="125">SUM(BP58:BP66)</f>
        <v>650635</v>
      </c>
      <c r="BQ57" s="20">
        <f t="shared" ref="BQ57:BW57" si="126">SUM(BQ58:BQ66)</f>
        <v>638873</v>
      </c>
      <c r="BR57" s="20">
        <f t="shared" si="126"/>
        <v>638427</v>
      </c>
      <c r="BS57" s="20">
        <f t="shared" si="126"/>
        <v>625015</v>
      </c>
      <c r="BT57" s="20">
        <f t="shared" si="126"/>
        <v>749018</v>
      </c>
      <c r="BU57" s="20">
        <f t="shared" si="126"/>
        <v>700102</v>
      </c>
      <c r="BV57" s="20">
        <f t="shared" si="126"/>
        <v>701631</v>
      </c>
      <c r="BW57" s="20">
        <f t="shared" si="126"/>
        <v>695469</v>
      </c>
      <c r="BX57" s="20">
        <f t="shared" ref="BX57:BY57" si="127">SUM(BX58:BX66)</f>
        <v>602984</v>
      </c>
      <c r="BY57" s="20">
        <f t="shared" si="127"/>
        <v>694951</v>
      </c>
      <c r="BZ57" s="20">
        <f t="shared" ref="BZ57:CB57" si="128">SUM(BZ58:BZ66)</f>
        <v>654338</v>
      </c>
      <c r="CA57" s="20">
        <f t="shared" si="128"/>
        <v>611345</v>
      </c>
      <c r="CB57" s="20">
        <f t="shared" si="128"/>
        <v>547520</v>
      </c>
      <c r="CC57" s="20">
        <f t="shared" ref="CC57:CD57" si="129">SUM(CC58:CC66)</f>
        <v>452489</v>
      </c>
      <c r="CD57" s="20">
        <f t="shared" si="129"/>
        <v>86988</v>
      </c>
      <c r="CE57" s="20">
        <f t="shared" ref="CE57:CF57" si="130">SUM(CE58:CE66)</f>
        <v>395857</v>
      </c>
      <c r="CF57" s="20">
        <f t="shared" si="130"/>
        <v>563283</v>
      </c>
      <c r="CH57" s="20">
        <f t="shared" ref="CH57:DR57" ca="1" si="131">SUM(CH58:CH66)</f>
        <v>146283</v>
      </c>
      <c r="CI57" s="20">
        <f t="shared" ca="1" si="131"/>
        <v>166149</v>
      </c>
      <c r="CJ57" s="20">
        <f t="shared" ca="1" si="131"/>
        <v>147204</v>
      </c>
      <c r="CK57" s="20">
        <f t="shared" ca="1" si="131"/>
        <v>285178</v>
      </c>
      <c r="CL57" s="20">
        <f t="shared" ca="1" si="131"/>
        <v>302245</v>
      </c>
      <c r="CM57" s="20">
        <f t="shared" ca="1" si="131"/>
        <v>333736</v>
      </c>
      <c r="CN57" s="20">
        <f t="shared" ca="1" si="131"/>
        <v>354809</v>
      </c>
      <c r="CO57" s="20">
        <f t="shared" ca="1" si="131"/>
        <v>334485</v>
      </c>
      <c r="CP57" s="20">
        <f t="shared" ca="1" si="131"/>
        <v>638734</v>
      </c>
      <c r="CQ57" s="20">
        <f t="shared" ca="1" si="131"/>
        <v>666795</v>
      </c>
      <c r="CR57" s="20">
        <f t="shared" ca="1" si="131"/>
        <v>840852</v>
      </c>
      <c r="CS57" s="20">
        <f t="shared" ca="1" si="131"/>
        <v>1083465</v>
      </c>
      <c r="CT57" s="20">
        <f t="shared" ca="1" si="131"/>
        <v>867162</v>
      </c>
      <c r="CU57" s="20">
        <f t="shared" ca="1" si="131"/>
        <v>1075750</v>
      </c>
      <c r="CV57" s="20">
        <f t="shared" ca="1" si="131"/>
        <v>1244460</v>
      </c>
      <c r="CW57" s="20">
        <f t="shared" ca="1" si="131"/>
        <v>1321807</v>
      </c>
      <c r="CX57" s="20">
        <f t="shared" ca="1" si="131"/>
        <v>1266869</v>
      </c>
      <c r="CY57" s="20">
        <f t="shared" ca="1" si="131"/>
        <v>1266129</v>
      </c>
      <c r="CZ57" s="20">
        <f t="shared" ca="1" si="131"/>
        <v>1723636</v>
      </c>
      <c r="DA57" s="20">
        <f t="shared" ca="1" si="131"/>
        <v>1415171</v>
      </c>
      <c r="DB57" s="20">
        <f t="shared" ca="1" si="131"/>
        <v>1490924</v>
      </c>
      <c r="DC57" s="20">
        <f t="shared" ca="1" si="131"/>
        <v>1534436</v>
      </c>
      <c r="DD57" s="20">
        <f t="shared" ca="1" si="131"/>
        <v>1478157</v>
      </c>
      <c r="DE57" s="20">
        <f t="shared" ca="1" si="131"/>
        <v>1264484</v>
      </c>
      <c r="DF57" s="20">
        <f t="shared" ca="1" si="131"/>
        <v>1484981</v>
      </c>
      <c r="DG57" s="20">
        <f t="shared" ca="1" si="131"/>
        <v>1179280</v>
      </c>
      <c r="DH57" s="20">
        <f t="shared" ca="1" si="131"/>
        <v>742103</v>
      </c>
      <c r="DI57" s="20">
        <f t="shared" ca="1" si="131"/>
        <v>685660</v>
      </c>
      <c r="DJ57" s="20">
        <f t="shared" ca="1" si="131"/>
        <v>584211</v>
      </c>
      <c r="DK57" s="20">
        <f t="shared" ca="1" si="131"/>
        <v>627990</v>
      </c>
      <c r="DL57" s="20">
        <f t="shared" ca="1" si="131"/>
        <v>568694</v>
      </c>
      <c r="DM57" s="20">
        <f t="shared" ca="1" si="131"/>
        <v>623692</v>
      </c>
      <c r="DN57" s="20">
        <f t="shared" ca="1" si="131"/>
        <v>653998</v>
      </c>
      <c r="DO57" s="20">
        <f t="shared" ca="1" si="131"/>
        <v>672747</v>
      </c>
      <c r="DP57" s="20">
        <f t="shared" ca="1" si="131"/>
        <v>625956</v>
      </c>
      <c r="DQ57" s="20">
        <f t="shared" ca="1" si="131"/>
        <v>625062</v>
      </c>
      <c r="DR57" s="20">
        <f t="shared" ca="1" si="131"/>
        <v>520599</v>
      </c>
      <c r="DS57" s="20">
        <f t="shared" ref="DS57:DU57" ca="1" si="132">SUM(DS58:DS66)</f>
        <v>416625</v>
      </c>
      <c r="DT57" s="20">
        <f t="shared" ca="1" si="132"/>
        <v>420110</v>
      </c>
      <c r="DU57" s="20">
        <f t="shared" ca="1" si="132"/>
        <v>458112</v>
      </c>
      <c r="DV57" s="20">
        <f t="shared" ref="DV57:EB57" ca="1" si="133">SUM(DV58:DV66)</f>
        <v>545736</v>
      </c>
      <c r="DW57" s="20">
        <f t="shared" ca="1" si="133"/>
        <v>652668</v>
      </c>
      <c r="DX57" s="20">
        <f t="shared" ca="1" si="133"/>
        <v>628753</v>
      </c>
      <c r="DY57" s="20">
        <f t="shared" ca="1" si="133"/>
        <v>635046</v>
      </c>
      <c r="DZ57" s="20">
        <f t="shared" ca="1" si="133"/>
        <v>650635</v>
      </c>
      <c r="EA57" s="20">
        <f t="shared" ca="1" si="133"/>
        <v>638427</v>
      </c>
      <c r="EB57" s="20">
        <f t="shared" ca="1" si="133"/>
        <v>625015</v>
      </c>
      <c r="EC57" s="20">
        <f t="shared" ref="EC57:EF57" ca="1" si="134">SUM(EC58:EC66)</f>
        <v>749018</v>
      </c>
      <c r="ED57" s="20">
        <f t="shared" ca="1" si="134"/>
        <v>701631</v>
      </c>
      <c r="EE57" s="20">
        <f t="shared" ca="1" si="134"/>
        <v>695469</v>
      </c>
      <c r="EF57" s="20">
        <f t="shared" ca="1" si="134"/>
        <v>602984</v>
      </c>
      <c r="EG57" s="20">
        <f t="shared" ref="EG57:EH57" ca="1" si="135">SUM(EG58:EG66)</f>
        <v>654338</v>
      </c>
      <c r="EH57" s="20">
        <f t="shared" ca="1" si="135"/>
        <v>611345</v>
      </c>
      <c r="EI57" s="20">
        <f t="shared" ref="EI57:EK57" ca="1" si="136">SUM(EI58:EI66)</f>
        <v>547520</v>
      </c>
      <c r="EJ57" s="20">
        <f t="shared" ca="1" si="136"/>
        <v>86988</v>
      </c>
      <c r="EK57" s="20">
        <f t="shared" ca="1" si="136"/>
        <v>395857</v>
      </c>
      <c r="EL57" s="20">
        <f t="shared" ref="EL57" ca="1" si="137">SUM(EL58:EL66)</f>
        <v>563283</v>
      </c>
    </row>
    <row r="58" spans="2:142" x14ac:dyDescent="0.3">
      <c r="B58" s="137" t="s">
        <v>578</v>
      </c>
      <c r="C58" s="111" t="s">
        <v>401</v>
      </c>
      <c r="D58" s="183" t="str">
        <f>IF(Menu!$D$12="PT",'Dados Financeiros'!B58,'Dados Financeiros'!C58)</f>
        <v>Empréstimos e financiamentos - LP</v>
      </c>
      <c r="E58" s="4">
        <v>35872</v>
      </c>
      <c r="F58" s="4">
        <v>27929</v>
      </c>
      <c r="G58" s="4">
        <v>40804</v>
      </c>
      <c r="H58" s="4">
        <v>20386</v>
      </c>
      <c r="I58" s="4">
        <v>81173</v>
      </c>
      <c r="J58" s="4">
        <v>130333</v>
      </c>
      <c r="K58" s="4">
        <v>164405</v>
      </c>
      <c r="L58" s="4">
        <v>173156</v>
      </c>
      <c r="M58" s="4">
        <v>196181</v>
      </c>
      <c r="N58" s="4">
        <v>205141</v>
      </c>
      <c r="O58" s="4">
        <v>182050</v>
      </c>
      <c r="P58" s="4">
        <v>525793</v>
      </c>
      <c r="Q58" s="4">
        <v>609492</v>
      </c>
      <c r="R58" s="4">
        <v>530999</v>
      </c>
      <c r="S58" s="4">
        <v>682083</v>
      </c>
      <c r="T58" s="4">
        <v>801541</v>
      </c>
      <c r="U58" s="4">
        <v>702753</v>
      </c>
      <c r="V58" s="4">
        <f>373888+233410</f>
        <v>607298</v>
      </c>
      <c r="W58" s="4">
        <v>810051</v>
      </c>
      <c r="X58" s="4">
        <v>901564</v>
      </c>
      <c r="Y58" s="4">
        <v>1010419</v>
      </c>
      <c r="Z58" s="4">
        <v>951636</v>
      </c>
      <c r="AA58" s="4">
        <v>1105571</v>
      </c>
      <c r="AB58" s="4">
        <v>1032779</v>
      </c>
      <c r="AC58" s="4">
        <v>1065472</v>
      </c>
      <c r="AD58" s="38">
        <v>976409</v>
      </c>
      <c r="AE58" s="4">
        <v>1073985</v>
      </c>
      <c r="AF58" s="4">
        <v>1036544</v>
      </c>
      <c r="AG58" s="4">
        <v>1299824</v>
      </c>
      <c r="AH58" s="4">
        <v>1501883</v>
      </c>
      <c r="AI58" s="4">
        <v>1255245</v>
      </c>
      <c r="AJ58" s="4">
        <v>1294361</v>
      </c>
      <c r="AK58" s="4">
        <v>1303406</v>
      </c>
      <c r="AL58" s="4">
        <v>1375686</v>
      </c>
      <c r="AM58" s="4">
        <v>1326441</v>
      </c>
      <c r="AN58" s="4">
        <v>1111674</v>
      </c>
      <c r="AO58" s="4">
        <v>1039867</v>
      </c>
      <c r="AP58" s="4">
        <v>1328760</v>
      </c>
      <c r="AQ58" s="4">
        <v>1009066</v>
      </c>
      <c r="AR58" s="4">
        <v>557357</v>
      </c>
      <c r="AS58" s="4">
        <v>547515</v>
      </c>
      <c r="AT58" s="4">
        <v>495364</v>
      </c>
      <c r="AU58" s="4">
        <v>391388</v>
      </c>
      <c r="AV58" s="4">
        <v>391541</v>
      </c>
      <c r="AW58" s="32">
        <v>242788</v>
      </c>
      <c r="AX58" s="32">
        <v>352858</v>
      </c>
      <c r="AY58" s="32">
        <v>404101</v>
      </c>
      <c r="AZ58" s="32">
        <v>451632</v>
      </c>
      <c r="BA58" s="32">
        <v>456171</v>
      </c>
      <c r="BB58" s="32">
        <v>466093</v>
      </c>
      <c r="BC58" s="32">
        <v>430566</v>
      </c>
      <c r="BD58" s="32">
        <v>434853</v>
      </c>
      <c r="BE58" s="32">
        <v>382386</v>
      </c>
      <c r="BF58" s="32">
        <v>335239</v>
      </c>
      <c r="BG58" s="32">
        <v>234983</v>
      </c>
      <c r="BH58" s="32">
        <v>237347</v>
      </c>
      <c r="BI58" s="32">
        <v>221324</v>
      </c>
      <c r="BJ58" s="32">
        <v>277434</v>
      </c>
      <c r="BK58" s="32">
        <v>376213</v>
      </c>
      <c r="BL58" s="32">
        <v>467554</v>
      </c>
      <c r="BM58" s="32">
        <v>513088</v>
      </c>
      <c r="BN58" s="32">
        <v>497598</v>
      </c>
      <c r="BO58" s="32">
        <v>514468</v>
      </c>
      <c r="BP58" s="32">
        <v>519600</v>
      </c>
      <c r="BQ58" s="32">
        <v>522098</v>
      </c>
      <c r="BR58" s="32">
        <v>528082</v>
      </c>
      <c r="BS58" s="32">
        <v>523630</v>
      </c>
      <c r="BT58" s="32">
        <v>597367</v>
      </c>
      <c r="BU58" s="32">
        <v>581808</v>
      </c>
      <c r="BV58" s="32">
        <v>574484</v>
      </c>
      <c r="BW58" s="32">
        <v>585283</v>
      </c>
      <c r="BX58" s="32">
        <v>493119</v>
      </c>
      <c r="BY58" s="32">
        <v>543218</v>
      </c>
      <c r="BZ58" s="32">
        <v>528884</v>
      </c>
      <c r="CA58" s="32">
        <v>490427</v>
      </c>
      <c r="CB58" s="32">
        <v>456418</v>
      </c>
      <c r="CC58" s="32">
        <v>385160</v>
      </c>
      <c r="CD58" s="32">
        <v>20228</v>
      </c>
      <c r="CE58" s="32">
        <v>339161</v>
      </c>
      <c r="CF58" s="32">
        <v>504914</v>
      </c>
      <c r="CH58" s="94">
        <f t="shared" ref="CH58:CQ66" ca="1" si="138">INDIRECT(ADDRESS(ROW(),MATCH(IF(LEFT(CH$2,2)="1S","2T",IF(LEFT(CH$2,2)="9M","3T","4T"))&amp;RIGHT(CH$2,2),$A$2:$CG$2,0)))</f>
        <v>27929</v>
      </c>
      <c r="CI58" s="94">
        <f t="shared" ca="1" si="138"/>
        <v>40804</v>
      </c>
      <c r="CJ58" s="94">
        <f t="shared" ca="1" si="138"/>
        <v>20386</v>
      </c>
      <c r="CK58" s="94">
        <f t="shared" ca="1" si="138"/>
        <v>130333</v>
      </c>
      <c r="CL58" s="94">
        <f t="shared" ca="1" si="138"/>
        <v>164405</v>
      </c>
      <c r="CM58" s="94">
        <f t="shared" ca="1" si="138"/>
        <v>173156</v>
      </c>
      <c r="CN58" s="94">
        <f t="shared" ca="1" si="138"/>
        <v>205141</v>
      </c>
      <c r="CO58" s="94">
        <f t="shared" ca="1" si="138"/>
        <v>182050</v>
      </c>
      <c r="CP58" s="94">
        <f t="shared" ca="1" si="138"/>
        <v>525793</v>
      </c>
      <c r="CQ58" s="94">
        <f t="shared" ca="1" si="138"/>
        <v>530999</v>
      </c>
      <c r="CR58" s="94">
        <f t="shared" ref="CR58:DA66" ca="1" si="139">INDIRECT(ADDRESS(ROW(),MATCH(IF(LEFT(CR$2,2)="1S","2T",IF(LEFT(CR$2,2)="9M","3T","4T"))&amp;RIGHT(CR$2,2),$A$2:$CG$2,0)))</f>
        <v>682083</v>
      </c>
      <c r="CS58" s="94">
        <f t="shared" ca="1" si="139"/>
        <v>801541</v>
      </c>
      <c r="CT58" s="94">
        <f t="shared" ca="1" si="139"/>
        <v>607298</v>
      </c>
      <c r="CU58" s="94">
        <f t="shared" ca="1" si="139"/>
        <v>810051</v>
      </c>
      <c r="CV58" s="94">
        <f t="shared" ca="1" si="139"/>
        <v>901564</v>
      </c>
      <c r="CW58" s="94">
        <f t="shared" ca="1" si="139"/>
        <v>1032779</v>
      </c>
      <c r="CX58" s="94">
        <f t="shared" ca="1" si="139"/>
        <v>976409</v>
      </c>
      <c r="CY58" s="94">
        <f t="shared" ca="1" si="139"/>
        <v>1036544</v>
      </c>
      <c r="CZ58" s="94">
        <f t="shared" ca="1" si="139"/>
        <v>1501883</v>
      </c>
      <c r="DA58" s="94">
        <f t="shared" ca="1" si="139"/>
        <v>1255245</v>
      </c>
      <c r="DB58" s="94">
        <f t="shared" ref="DB58:DK66" ca="1" si="140">INDIRECT(ADDRESS(ROW(),MATCH(IF(LEFT(DB$2,2)="1S","2T",IF(LEFT(DB$2,2)="9M","3T","4T"))&amp;RIGHT(DB$2,2),$A$2:$CG$2,0)))</f>
        <v>1294361</v>
      </c>
      <c r="DC58" s="94">
        <f t="shared" ca="1" si="140"/>
        <v>1375686</v>
      </c>
      <c r="DD58" s="94">
        <f t="shared" ca="1" si="140"/>
        <v>1326441</v>
      </c>
      <c r="DE58" s="94">
        <f t="shared" ca="1" si="140"/>
        <v>1111674</v>
      </c>
      <c r="DF58" s="94">
        <f t="shared" ca="1" si="140"/>
        <v>1328760</v>
      </c>
      <c r="DG58" s="94">
        <f t="shared" ca="1" si="140"/>
        <v>1009066</v>
      </c>
      <c r="DH58" s="94">
        <f t="shared" ca="1" si="140"/>
        <v>557357</v>
      </c>
      <c r="DI58" s="94">
        <f t="shared" ca="1" si="140"/>
        <v>495364</v>
      </c>
      <c r="DJ58" s="94">
        <f t="shared" ca="1" si="140"/>
        <v>391388</v>
      </c>
      <c r="DK58" s="94">
        <f t="shared" ca="1" si="140"/>
        <v>391541</v>
      </c>
      <c r="DL58" s="94">
        <f t="shared" ref="DL58:DU66" ca="1" si="141">INDIRECT(ADDRESS(ROW(),MATCH(IF(LEFT(DL$2,2)="1S","2T",IF(LEFT(DL$2,2)="9M","3T","4T"))&amp;RIGHT(DL$2,2),$A$2:$CG$2,0)))</f>
        <v>352858</v>
      </c>
      <c r="DM58" s="94">
        <f t="shared" ca="1" si="141"/>
        <v>404101</v>
      </c>
      <c r="DN58" s="94">
        <f t="shared" ca="1" si="141"/>
        <v>451632</v>
      </c>
      <c r="DO58" s="94">
        <f t="shared" ca="1" si="141"/>
        <v>466093</v>
      </c>
      <c r="DP58" s="94">
        <f t="shared" ca="1" si="141"/>
        <v>430566</v>
      </c>
      <c r="DQ58" s="94">
        <f t="shared" ca="1" si="141"/>
        <v>434853</v>
      </c>
      <c r="DR58" s="94">
        <f t="shared" ca="1" si="141"/>
        <v>335239</v>
      </c>
      <c r="DS58" s="94">
        <f t="shared" ca="1" si="141"/>
        <v>234983</v>
      </c>
      <c r="DT58" s="94">
        <f t="shared" ca="1" si="141"/>
        <v>237347</v>
      </c>
      <c r="DU58" s="94">
        <f t="shared" ca="1" si="141"/>
        <v>277434</v>
      </c>
      <c r="DV58" s="94">
        <f t="shared" ref="DV58:EE66" ca="1" si="142">INDIRECT(ADDRESS(ROW(),MATCH(IF(LEFT(DV$2,2)="1S","2T",IF(LEFT(DV$2,2)="9M","3T","4T"))&amp;RIGHT(DV$2,2),$A$2:$CG$2,0)))</f>
        <v>376213</v>
      </c>
      <c r="DW58" s="94">
        <f t="shared" ca="1" si="142"/>
        <v>467554</v>
      </c>
      <c r="DX58" s="94">
        <f t="shared" ca="1" si="142"/>
        <v>497598</v>
      </c>
      <c r="DY58" s="94">
        <f t="shared" ca="1" si="142"/>
        <v>514468</v>
      </c>
      <c r="DZ58" s="94">
        <f t="shared" ca="1" si="142"/>
        <v>519600</v>
      </c>
      <c r="EA58" s="94">
        <f t="shared" ca="1" si="142"/>
        <v>528082</v>
      </c>
      <c r="EB58" s="94">
        <f t="shared" ca="1" si="142"/>
        <v>523630</v>
      </c>
      <c r="EC58" s="94">
        <f t="shared" ca="1" si="142"/>
        <v>597367</v>
      </c>
      <c r="ED58" s="94">
        <f t="shared" ca="1" si="142"/>
        <v>574484</v>
      </c>
      <c r="EE58" s="94">
        <f t="shared" ca="1" si="142"/>
        <v>585283</v>
      </c>
      <c r="EF58" s="94">
        <f t="shared" ref="EF58:EL66" ca="1" si="143">INDIRECT(ADDRESS(ROW(),MATCH(IF(LEFT(EF$2,2)="1S","2T",IF(LEFT(EF$2,2)="9M","3T","4T"))&amp;RIGHT(EF$2,2),$A$2:$CG$2,0)))</f>
        <v>493119</v>
      </c>
      <c r="EG58" s="94">
        <f t="shared" ca="1" si="143"/>
        <v>528884</v>
      </c>
      <c r="EH58" s="94">
        <f t="shared" ca="1" si="143"/>
        <v>490427</v>
      </c>
      <c r="EI58" s="94">
        <f t="shared" ca="1" si="143"/>
        <v>456418</v>
      </c>
      <c r="EJ58" s="94">
        <f t="shared" ca="1" si="143"/>
        <v>20228</v>
      </c>
      <c r="EK58" s="94">
        <f t="shared" ca="1" si="143"/>
        <v>339161</v>
      </c>
      <c r="EL58" s="94">
        <f t="shared" ca="1" si="143"/>
        <v>504914</v>
      </c>
    </row>
    <row r="59" spans="2:142" x14ac:dyDescent="0.3">
      <c r="B59" s="111" t="s">
        <v>624</v>
      </c>
      <c r="C59" s="111" t="s">
        <v>404</v>
      </c>
      <c r="D59" s="182" t="s">
        <v>768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6347</v>
      </c>
      <c r="BI59" s="32">
        <v>8078</v>
      </c>
      <c r="BJ59" s="32">
        <v>9802</v>
      </c>
      <c r="BK59" s="32">
        <v>11672</v>
      </c>
      <c r="BL59" s="32">
        <v>13500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286</v>
      </c>
      <c r="BT59" s="32">
        <v>612</v>
      </c>
      <c r="BU59" s="32">
        <v>802</v>
      </c>
      <c r="BV59" s="32">
        <v>1241</v>
      </c>
      <c r="BW59" s="32">
        <v>1516</v>
      </c>
      <c r="BX59" s="32">
        <v>2528</v>
      </c>
      <c r="BY59" s="32">
        <v>1151</v>
      </c>
      <c r="BZ59" s="32">
        <v>961</v>
      </c>
      <c r="CA59" s="32">
        <v>805</v>
      </c>
      <c r="CB59" s="32">
        <v>498</v>
      </c>
      <c r="CC59" s="32">
        <v>590</v>
      </c>
      <c r="CD59" s="32">
        <v>555</v>
      </c>
      <c r="CE59" s="32">
        <v>351</v>
      </c>
      <c r="CF59" s="32">
        <v>459</v>
      </c>
      <c r="CH59" s="94">
        <f t="shared" ca="1" si="138"/>
        <v>0</v>
      </c>
      <c r="CI59" s="94">
        <f t="shared" ca="1" si="138"/>
        <v>0</v>
      </c>
      <c r="CJ59" s="94">
        <f t="shared" ca="1" si="138"/>
        <v>0</v>
      </c>
      <c r="CK59" s="94">
        <f t="shared" ca="1" si="138"/>
        <v>0</v>
      </c>
      <c r="CL59" s="94">
        <f t="shared" ca="1" si="138"/>
        <v>0</v>
      </c>
      <c r="CM59" s="94">
        <f t="shared" ca="1" si="138"/>
        <v>0</v>
      </c>
      <c r="CN59" s="94">
        <f t="shared" ca="1" si="138"/>
        <v>0</v>
      </c>
      <c r="CO59" s="94">
        <f t="shared" ca="1" si="138"/>
        <v>0</v>
      </c>
      <c r="CP59" s="94">
        <f t="shared" ca="1" si="138"/>
        <v>0</v>
      </c>
      <c r="CQ59" s="94">
        <f t="shared" ca="1" si="138"/>
        <v>0</v>
      </c>
      <c r="CR59" s="94">
        <f t="shared" ca="1" si="139"/>
        <v>0</v>
      </c>
      <c r="CS59" s="94">
        <f t="shared" ca="1" si="139"/>
        <v>0</v>
      </c>
      <c r="CT59" s="94">
        <f t="shared" ca="1" si="139"/>
        <v>0</v>
      </c>
      <c r="CU59" s="94">
        <f t="shared" ca="1" si="139"/>
        <v>0</v>
      </c>
      <c r="CV59" s="94">
        <f t="shared" ca="1" si="139"/>
        <v>0</v>
      </c>
      <c r="CW59" s="94">
        <f t="shared" ca="1" si="139"/>
        <v>0</v>
      </c>
      <c r="CX59" s="94">
        <f t="shared" ca="1" si="139"/>
        <v>0</v>
      </c>
      <c r="CY59" s="94">
        <f t="shared" ca="1" si="139"/>
        <v>0</v>
      </c>
      <c r="CZ59" s="94">
        <f t="shared" ca="1" si="139"/>
        <v>0</v>
      </c>
      <c r="DA59" s="94">
        <f t="shared" ca="1" si="139"/>
        <v>0</v>
      </c>
      <c r="DB59" s="94">
        <f t="shared" ca="1" si="140"/>
        <v>0</v>
      </c>
      <c r="DC59" s="94">
        <f t="shared" ca="1" si="140"/>
        <v>0</v>
      </c>
      <c r="DD59" s="94">
        <f t="shared" ca="1" si="140"/>
        <v>0</v>
      </c>
      <c r="DE59" s="94">
        <f t="shared" ca="1" si="140"/>
        <v>0</v>
      </c>
      <c r="DF59" s="94">
        <f t="shared" ca="1" si="140"/>
        <v>0</v>
      </c>
      <c r="DG59" s="94">
        <f t="shared" ca="1" si="140"/>
        <v>0</v>
      </c>
      <c r="DH59" s="94">
        <f t="shared" ca="1" si="140"/>
        <v>0</v>
      </c>
      <c r="DI59" s="94">
        <f t="shared" ca="1" si="140"/>
        <v>0</v>
      </c>
      <c r="DJ59" s="94">
        <f t="shared" ca="1" si="140"/>
        <v>0</v>
      </c>
      <c r="DK59" s="94">
        <f t="shared" ca="1" si="140"/>
        <v>0</v>
      </c>
      <c r="DL59" s="94">
        <f t="shared" ca="1" si="141"/>
        <v>0</v>
      </c>
      <c r="DM59" s="94">
        <f t="shared" ca="1" si="141"/>
        <v>0</v>
      </c>
      <c r="DN59" s="94">
        <f t="shared" ca="1" si="141"/>
        <v>0</v>
      </c>
      <c r="DO59" s="94">
        <f t="shared" ca="1" si="141"/>
        <v>0</v>
      </c>
      <c r="DP59" s="94">
        <f t="shared" ca="1" si="141"/>
        <v>0</v>
      </c>
      <c r="DQ59" s="94">
        <f t="shared" ca="1" si="141"/>
        <v>0</v>
      </c>
      <c r="DR59" s="94">
        <f t="shared" ca="1" si="141"/>
        <v>0</v>
      </c>
      <c r="DS59" s="94">
        <f t="shared" ca="1" si="141"/>
        <v>0</v>
      </c>
      <c r="DT59" s="94">
        <f t="shared" ca="1" si="141"/>
        <v>6347</v>
      </c>
      <c r="DU59" s="94">
        <f t="shared" ca="1" si="141"/>
        <v>9802</v>
      </c>
      <c r="DV59" s="94">
        <f t="shared" ca="1" si="142"/>
        <v>11672</v>
      </c>
      <c r="DW59" s="94">
        <f t="shared" ca="1" si="142"/>
        <v>13500</v>
      </c>
      <c r="DX59" s="94">
        <f t="shared" ca="1" si="142"/>
        <v>0</v>
      </c>
      <c r="DY59" s="94">
        <f t="shared" ca="1" si="142"/>
        <v>0</v>
      </c>
      <c r="DZ59" s="94">
        <f t="shared" ca="1" si="142"/>
        <v>0</v>
      </c>
      <c r="EA59" s="94">
        <f t="shared" ca="1" si="142"/>
        <v>0</v>
      </c>
      <c r="EB59" s="94">
        <f t="shared" ca="1" si="142"/>
        <v>286</v>
      </c>
      <c r="EC59" s="94">
        <f t="shared" ca="1" si="142"/>
        <v>612</v>
      </c>
      <c r="ED59" s="94">
        <f t="shared" ca="1" si="142"/>
        <v>1241</v>
      </c>
      <c r="EE59" s="94">
        <f t="shared" ca="1" si="142"/>
        <v>1516</v>
      </c>
      <c r="EF59" s="94">
        <f t="shared" ca="1" si="143"/>
        <v>2528</v>
      </c>
      <c r="EG59" s="94">
        <f t="shared" ca="1" si="143"/>
        <v>961</v>
      </c>
      <c r="EH59" s="94">
        <f t="shared" ca="1" si="143"/>
        <v>805</v>
      </c>
      <c r="EI59" s="94">
        <f t="shared" ca="1" si="143"/>
        <v>498</v>
      </c>
      <c r="EJ59" s="94">
        <f t="shared" ca="1" si="143"/>
        <v>555</v>
      </c>
      <c r="EK59" s="94">
        <f t="shared" ca="1" si="143"/>
        <v>351</v>
      </c>
      <c r="EL59" s="94">
        <f t="shared" ca="1" si="143"/>
        <v>459</v>
      </c>
    </row>
    <row r="60" spans="2:142" x14ac:dyDescent="0.3">
      <c r="B60" s="110" t="s">
        <v>579</v>
      </c>
      <c r="C60" s="110" t="s">
        <v>407</v>
      </c>
      <c r="D60" s="182" t="str">
        <f>IF(Menu!$D$12="PT",'Dados Financeiros'!B60,'Dados Financeiros'!C60)</f>
        <v>Adiantamento de clientes - LP</v>
      </c>
      <c r="E60" s="32">
        <v>3398</v>
      </c>
      <c r="F60" s="32">
        <v>2833</v>
      </c>
      <c r="G60" s="32">
        <v>3859</v>
      </c>
      <c r="H60" s="32">
        <v>6792</v>
      </c>
      <c r="I60" s="32">
        <v>8420</v>
      </c>
      <c r="J60" s="32">
        <v>11104</v>
      </c>
      <c r="K60" s="32">
        <v>11606</v>
      </c>
      <c r="L60" s="32">
        <v>27563</v>
      </c>
      <c r="M60" s="32">
        <v>30683</v>
      </c>
      <c r="N60" s="32">
        <v>28731</v>
      </c>
      <c r="O60" s="32">
        <v>31091</v>
      </c>
      <c r="P60" s="32">
        <v>24365</v>
      </c>
      <c r="Q60" s="32">
        <v>21894</v>
      </c>
      <c r="R60" s="32">
        <v>28782</v>
      </c>
      <c r="S60" s="32">
        <v>61004</v>
      </c>
      <c r="T60" s="32">
        <v>130990</v>
      </c>
      <c r="U60" s="32">
        <v>122791</v>
      </c>
      <c r="V60" s="32">
        <v>118447</v>
      </c>
      <c r="W60" s="32">
        <v>128451</v>
      </c>
      <c r="X60" s="32">
        <v>189288</v>
      </c>
      <c r="Y60" s="32">
        <v>185799</v>
      </c>
      <c r="Z60" s="32">
        <v>158760</v>
      </c>
      <c r="AA60" s="32">
        <v>161529</v>
      </c>
      <c r="AB60" s="32">
        <v>149931</v>
      </c>
      <c r="AC60" s="32">
        <v>165771</v>
      </c>
      <c r="AD60" s="41">
        <v>136971</v>
      </c>
      <c r="AE60" s="32">
        <v>118110</v>
      </c>
      <c r="AF60" s="32">
        <v>108536</v>
      </c>
      <c r="AG60" s="32">
        <v>85892</v>
      </c>
      <c r="AH60" s="32">
        <v>93817</v>
      </c>
      <c r="AI60" s="32">
        <v>76220</v>
      </c>
      <c r="AJ60" s="32">
        <v>112548</v>
      </c>
      <c r="AK60" s="32">
        <v>69067</v>
      </c>
      <c r="AL60" s="32">
        <v>58076</v>
      </c>
      <c r="AM60" s="32">
        <v>43882</v>
      </c>
      <c r="AN60" s="32">
        <v>32402</v>
      </c>
      <c r="AO60" s="4">
        <v>38586</v>
      </c>
      <c r="AP60" s="4">
        <v>31731</v>
      </c>
      <c r="AQ60" s="4">
        <v>28915</v>
      </c>
      <c r="AR60" s="4">
        <v>22140</v>
      </c>
      <c r="AS60" s="4">
        <v>6560</v>
      </c>
      <c r="AT60" s="4">
        <v>6560</v>
      </c>
      <c r="AU60" s="4">
        <v>0</v>
      </c>
      <c r="AV60" s="4">
        <v>8360</v>
      </c>
      <c r="AW60" s="32">
        <v>8360</v>
      </c>
      <c r="AX60" s="32">
        <v>8360</v>
      </c>
      <c r="AY60" s="32">
        <v>11107</v>
      </c>
      <c r="AZ60" s="32">
        <v>9243</v>
      </c>
      <c r="BA60" s="32">
        <v>11462</v>
      </c>
      <c r="BB60" s="32">
        <v>10706</v>
      </c>
      <c r="BC60" s="32">
        <v>6750</v>
      </c>
      <c r="BD60" s="32">
        <v>6560</v>
      </c>
      <c r="BE60" s="32">
        <v>6560</v>
      </c>
      <c r="BF60" s="32">
        <v>11337</v>
      </c>
      <c r="BG60" s="32">
        <v>6560</v>
      </c>
      <c r="BH60" s="32">
        <v>0</v>
      </c>
      <c r="BI60" s="32">
        <v>0</v>
      </c>
      <c r="BJ60" s="32">
        <v>0</v>
      </c>
      <c r="BK60" s="32">
        <v>0</v>
      </c>
      <c r="BL60" s="32">
        <v>30227</v>
      </c>
      <c r="BM60" s="32">
        <v>30466</v>
      </c>
      <c r="BN60" s="32">
        <v>36065</v>
      </c>
      <c r="BO60" s="32">
        <v>39119</v>
      </c>
      <c r="BP60" s="32">
        <v>47482</v>
      </c>
      <c r="BQ60" s="32">
        <v>36033</v>
      </c>
      <c r="BR60" s="32">
        <v>35573</v>
      </c>
      <c r="BS60" s="32">
        <v>35127</v>
      </c>
      <c r="BT60" s="32">
        <v>90342</v>
      </c>
      <c r="BU60" s="32">
        <v>58322</v>
      </c>
      <c r="BV60" s="32">
        <v>69541</v>
      </c>
      <c r="BW60" s="32">
        <v>55595</v>
      </c>
      <c r="BX60" s="32">
        <v>52288</v>
      </c>
      <c r="BY60" s="32">
        <v>95588</v>
      </c>
      <c r="BZ60" s="32">
        <v>72603</v>
      </c>
      <c r="CA60" s="32">
        <v>65473</v>
      </c>
      <c r="CB60" s="32">
        <v>32740</v>
      </c>
      <c r="CC60" s="32">
        <v>15610</v>
      </c>
      <c r="CD60" s="32">
        <v>16526</v>
      </c>
      <c r="CE60" s="32">
        <v>4628</v>
      </c>
      <c r="CF60" s="32">
        <v>4106</v>
      </c>
      <c r="CH60" s="94">
        <f t="shared" ca="1" si="138"/>
        <v>2833</v>
      </c>
      <c r="CI60" s="94">
        <f t="shared" ca="1" si="138"/>
        <v>3859</v>
      </c>
      <c r="CJ60" s="94">
        <f t="shared" ca="1" si="138"/>
        <v>6792</v>
      </c>
      <c r="CK60" s="94">
        <f t="shared" ca="1" si="138"/>
        <v>11104</v>
      </c>
      <c r="CL60" s="94">
        <f t="shared" ca="1" si="138"/>
        <v>11606</v>
      </c>
      <c r="CM60" s="94">
        <f t="shared" ca="1" si="138"/>
        <v>27563</v>
      </c>
      <c r="CN60" s="94">
        <f t="shared" ca="1" si="138"/>
        <v>28731</v>
      </c>
      <c r="CO60" s="94">
        <f t="shared" ca="1" si="138"/>
        <v>31091</v>
      </c>
      <c r="CP60" s="94">
        <f t="shared" ca="1" si="138"/>
        <v>24365</v>
      </c>
      <c r="CQ60" s="94">
        <f t="shared" ca="1" si="138"/>
        <v>28782</v>
      </c>
      <c r="CR60" s="94">
        <f t="shared" ca="1" si="139"/>
        <v>61004</v>
      </c>
      <c r="CS60" s="94">
        <f t="shared" ca="1" si="139"/>
        <v>130990</v>
      </c>
      <c r="CT60" s="94">
        <f t="shared" ca="1" si="139"/>
        <v>118447</v>
      </c>
      <c r="CU60" s="94">
        <f t="shared" ca="1" si="139"/>
        <v>128451</v>
      </c>
      <c r="CV60" s="94">
        <f t="shared" ca="1" si="139"/>
        <v>189288</v>
      </c>
      <c r="CW60" s="94">
        <f t="shared" ca="1" si="139"/>
        <v>149931</v>
      </c>
      <c r="CX60" s="94">
        <f t="shared" ca="1" si="139"/>
        <v>136971</v>
      </c>
      <c r="CY60" s="94">
        <f t="shared" ca="1" si="139"/>
        <v>108536</v>
      </c>
      <c r="CZ60" s="94">
        <f t="shared" ca="1" si="139"/>
        <v>93817</v>
      </c>
      <c r="DA60" s="94">
        <f t="shared" ca="1" si="139"/>
        <v>76220</v>
      </c>
      <c r="DB60" s="94">
        <f t="shared" ca="1" si="140"/>
        <v>112548</v>
      </c>
      <c r="DC60" s="94">
        <f t="shared" ca="1" si="140"/>
        <v>58076</v>
      </c>
      <c r="DD60" s="94">
        <f t="shared" ca="1" si="140"/>
        <v>43882</v>
      </c>
      <c r="DE60" s="94">
        <f t="shared" ca="1" si="140"/>
        <v>32402</v>
      </c>
      <c r="DF60" s="94">
        <f t="shared" ca="1" si="140"/>
        <v>31731</v>
      </c>
      <c r="DG60" s="94">
        <f t="shared" ca="1" si="140"/>
        <v>28915</v>
      </c>
      <c r="DH60" s="94">
        <f t="shared" ca="1" si="140"/>
        <v>22140</v>
      </c>
      <c r="DI60" s="94">
        <f t="shared" ca="1" si="140"/>
        <v>6560</v>
      </c>
      <c r="DJ60" s="94">
        <f t="shared" ca="1" si="140"/>
        <v>0</v>
      </c>
      <c r="DK60" s="94">
        <f t="shared" ca="1" si="140"/>
        <v>8360</v>
      </c>
      <c r="DL60" s="94">
        <f t="shared" ca="1" si="141"/>
        <v>8360</v>
      </c>
      <c r="DM60" s="94">
        <f t="shared" ca="1" si="141"/>
        <v>11107</v>
      </c>
      <c r="DN60" s="94">
        <f t="shared" ca="1" si="141"/>
        <v>9243</v>
      </c>
      <c r="DO60" s="94">
        <f t="shared" ca="1" si="141"/>
        <v>10706</v>
      </c>
      <c r="DP60" s="94">
        <f t="shared" ca="1" si="141"/>
        <v>6750</v>
      </c>
      <c r="DQ60" s="94">
        <f t="shared" ca="1" si="141"/>
        <v>6560</v>
      </c>
      <c r="DR60" s="94">
        <f t="shared" ca="1" si="141"/>
        <v>11337</v>
      </c>
      <c r="DS60" s="94">
        <f t="shared" ca="1" si="141"/>
        <v>6560</v>
      </c>
      <c r="DT60" s="94">
        <f t="shared" ca="1" si="141"/>
        <v>0</v>
      </c>
      <c r="DU60" s="94">
        <f t="shared" ca="1" si="141"/>
        <v>0</v>
      </c>
      <c r="DV60" s="94">
        <f t="shared" ca="1" si="142"/>
        <v>0</v>
      </c>
      <c r="DW60" s="94">
        <f t="shared" ca="1" si="142"/>
        <v>30227</v>
      </c>
      <c r="DX60" s="94">
        <f t="shared" ca="1" si="142"/>
        <v>36065</v>
      </c>
      <c r="DY60" s="94">
        <f t="shared" ca="1" si="142"/>
        <v>39119</v>
      </c>
      <c r="DZ60" s="94">
        <f t="shared" ca="1" si="142"/>
        <v>47482</v>
      </c>
      <c r="EA60" s="94">
        <f t="shared" ca="1" si="142"/>
        <v>35573</v>
      </c>
      <c r="EB60" s="94">
        <f t="shared" ca="1" si="142"/>
        <v>35127</v>
      </c>
      <c r="EC60" s="94">
        <f t="shared" ca="1" si="142"/>
        <v>90342</v>
      </c>
      <c r="ED60" s="94">
        <f t="shared" ca="1" si="142"/>
        <v>69541</v>
      </c>
      <c r="EE60" s="94">
        <f t="shared" ca="1" si="142"/>
        <v>55595</v>
      </c>
      <c r="EF60" s="94">
        <f t="shared" ca="1" si="143"/>
        <v>52288</v>
      </c>
      <c r="EG60" s="94">
        <f t="shared" ca="1" si="143"/>
        <v>72603</v>
      </c>
      <c r="EH60" s="94">
        <f t="shared" ca="1" si="143"/>
        <v>65473</v>
      </c>
      <c r="EI60" s="94">
        <f t="shared" ca="1" si="143"/>
        <v>32740</v>
      </c>
      <c r="EJ60" s="94">
        <f t="shared" ca="1" si="143"/>
        <v>16526</v>
      </c>
      <c r="EK60" s="94">
        <f t="shared" ca="1" si="143"/>
        <v>4628</v>
      </c>
      <c r="EL60" s="94">
        <f t="shared" ca="1" si="143"/>
        <v>4106</v>
      </c>
    </row>
    <row r="61" spans="2:142" x14ac:dyDescent="0.3">
      <c r="B61" s="110" t="s">
        <v>580</v>
      </c>
      <c r="C61" s="110" t="s">
        <v>405</v>
      </c>
      <c r="D61" s="182" t="str">
        <f>IF(Menu!$D$12="PT",'Dados Financeiros'!B61,'Dados Financeiros'!C61)</f>
        <v>Contas a pagar por aquisição de imóveis - LP</v>
      </c>
      <c r="E61" s="32">
        <v>76460</v>
      </c>
      <c r="F61" s="32">
        <v>81626</v>
      </c>
      <c r="G61" s="32">
        <v>86155</v>
      </c>
      <c r="H61" s="32">
        <v>85097</v>
      </c>
      <c r="I61" s="32">
        <v>87774</v>
      </c>
      <c r="J61" s="32">
        <v>85544</v>
      </c>
      <c r="K61" s="32">
        <v>82133</v>
      </c>
      <c r="L61" s="32">
        <v>82720</v>
      </c>
      <c r="M61" s="32">
        <v>74984</v>
      </c>
      <c r="N61" s="32">
        <v>64953</v>
      </c>
      <c r="O61" s="32">
        <v>58754</v>
      </c>
      <c r="P61" s="32">
        <v>57257</v>
      </c>
      <c r="Q61" s="32">
        <v>48202</v>
      </c>
      <c r="R61" s="32">
        <v>61106</v>
      </c>
      <c r="S61" s="32">
        <v>44936</v>
      </c>
      <c r="T61" s="32">
        <v>78340</v>
      </c>
      <c r="U61" s="32">
        <v>69853</v>
      </c>
      <c r="V61" s="32">
        <v>60307</v>
      </c>
      <c r="W61" s="32">
        <v>56256</v>
      </c>
      <c r="X61" s="32">
        <v>68979</v>
      </c>
      <c r="Y61" s="32">
        <v>57741</v>
      </c>
      <c r="Z61" s="32">
        <v>50513</v>
      </c>
      <c r="AA61" s="32">
        <v>65209</v>
      </c>
      <c r="AB61" s="32">
        <v>46637</v>
      </c>
      <c r="AC61" s="32">
        <v>58670</v>
      </c>
      <c r="AD61" s="41">
        <v>55008</v>
      </c>
      <c r="AE61" s="32">
        <v>56353</v>
      </c>
      <c r="AF61" s="32">
        <v>54050</v>
      </c>
      <c r="AG61" s="32">
        <v>53658</v>
      </c>
      <c r="AH61" s="32">
        <v>55449</v>
      </c>
      <c r="AI61" s="32">
        <v>15044</v>
      </c>
      <c r="AJ61" s="32">
        <v>13462</v>
      </c>
      <c r="AK61" s="32">
        <v>13151</v>
      </c>
      <c r="AL61" s="32">
        <v>13026</v>
      </c>
      <c r="AM61" s="32">
        <v>12891</v>
      </c>
      <c r="AN61" s="32">
        <v>13025</v>
      </c>
      <c r="AO61" s="4">
        <v>0</v>
      </c>
      <c r="AP61" s="32">
        <v>0</v>
      </c>
      <c r="AQ61" s="32">
        <v>0</v>
      </c>
      <c r="AR61" s="32">
        <v>300</v>
      </c>
      <c r="AS61" s="32">
        <v>152</v>
      </c>
      <c r="AT61" s="32">
        <v>1174</v>
      </c>
      <c r="AU61" s="32">
        <v>309</v>
      </c>
      <c r="AV61" s="32">
        <v>6887</v>
      </c>
      <c r="AW61" s="32">
        <v>0</v>
      </c>
      <c r="AX61" s="32">
        <v>0</v>
      </c>
      <c r="AY61" s="32">
        <v>490</v>
      </c>
      <c r="AZ61" s="32">
        <v>327</v>
      </c>
      <c r="BA61" s="32">
        <v>163</v>
      </c>
      <c r="BB61" s="32">
        <v>0</v>
      </c>
      <c r="BC61" s="32">
        <v>0</v>
      </c>
      <c r="BD61" s="32">
        <v>0</v>
      </c>
      <c r="BE61" s="32">
        <v>0</v>
      </c>
      <c r="BF61" s="32">
        <v>339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390</v>
      </c>
      <c r="BO61" s="32">
        <v>524</v>
      </c>
      <c r="BP61" s="32">
        <v>1903</v>
      </c>
      <c r="BQ61" s="32">
        <v>2031</v>
      </c>
      <c r="BR61" s="32">
        <v>2031</v>
      </c>
      <c r="BS61" s="32">
        <v>1731</v>
      </c>
      <c r="BT61" s="32">
        <v>6107</v>
      </c>
      <c r="BU61" s="32">
        <v>5367</v>
      </c>
      <c r="BV61" s="32">
        <v>5005</v>
      </c>
      <c r="BW61" s="32">
        <v>3283</v>
      </c>
      <c r="BX61" s="32">
        <v>2844</v>
      </c>
      <c r="BY61" s="32">
        <v>2258</v>
      </c>
      <c r="BZ61" s="32">
        <v>1629</v>
      </c>
      <c r="CA61" s="32">
        <v>1629</v>
      </c>
      <c r="CB61" s="32">
        <v>552</v>
      </c>
      <c r="CC61" s="32">
        <v>0</v>
      </c>
      <c r="CD61" s="32">
        <v>461</v>
      </c>
      <c r="CE61" s="32">
        <v>256</v>
      </c>
      <c r="CF61" s="32">
        <v>111</v>
      </c>
      <c r="CH61" s="94">
        <f t="shared" ca="1" si="138"/>
        <v>81626</v>
      </c>
      <c r="CI61" s="94">
        <f t="shared" ca="1" si="138"/>
        <v>86155</v>
      </c>
      <c r="CJ61" s="94">
        <f t="shared" ca="1" si="138"/>
        <v>85097</v>
      </c>
      <c r="CK61" s="94">
        <f t="shared" ca="1" si="138"/>
        <v>85544</v>
      </c>
      <c r="CL61" s="94">
        <f t="shared" ca="1" si="138"/>
        <v>82133</v>
      </c>
      <c r="CM61" s="94">
        <f t="shared" ca="1" si="138"/>
        <v>82720</v>
      </c>
      <c r="CN61" s="94">
        <f t="shared" ca="1" si="138"/>
        <v>64953</v>
      </c>
      <c r="CO61" s="94">
        <f t="shared" ca="1" si="138"/>
        <v>58754</v>
      </c>
      <c r="CP61" s="94">
        <f t="shared" ca="1" si="138"/>
        <v>57257</v>
      </c>
      <c r="CQ61" s="94">
        <f t="shared" ca="1" si="138"/>
        <v>61106</v>
      </c>
      <c r="CR61" s="94">
        <f t="shared" ca="1" si="139"/>
        <v>44936</v>
      </c>
      <c r="CS61" s="94">
        <f t="shared" ca="1" si="139"/>
        <v>78340</v>
      </c>
      <c r="CT61" s="94">
        <f t="shared" ca="1" si="139"/>
        <v>60307</v>
      </c>
      <c r="CU61" s="94">
        <f t="shared" ca="1" si="139"/>
        <v>56256</v>
      </c>
      <c r="CV61" s="94">
        <f t="shared" ca="1" si="139"/>
        <v>68979</v>
      </c>
      <c r="CW61" s="94">
        <f t="shared" ca="1" si="139"/>
        <v>46637</v>
      </c>
      <c r="CX61" s="94">
        <f t="shared" ca="1" si="139"/>
        <v>55008</v>
      </c>
      <c r="CY61" s="94">
        <f t="shared" ca="1" si="139"/>
        <v>54050</v>
      </c>
      <c r="CZ61" s="94">
        <f t="shared" ca="1" si="139"/>
        <v>55449</v>
      </c>
      <c r="DA61" s="94">
        <f t="shared" ca="1" si="139"/>
        <v>15044</v>
      </c>
      <c r="DB61" s="94">
        <f t="shared" ca="1" si="140"/>
        <v>13462</v>
      </c>
      <c r="DC61" s="94">
        <f t="shared" ca="1" si="140"/>
        <v>13026</v>
      </c>
      <c r="DD61" s="94">
        <f t="shared" ca="1" si="140"/>
        <v>12891</v>
      </c>
      <c r="DE61" s="94">
        <f t="shared" ca="1" si="140"/>
        <v>13025</v>
      </c>
      <c r="DF61" s="94">
        <f t="shared" ca="1" si="140"/>
        <v>0</v>
      </c>
      <c r="DG61" s="94">
        <f t="shared" ca="1" si="140"/>
        <v>0</v>
      </c>
      <c r="DH61" s="94">
        <f t="shared" ca="1" si="140"/>
        <v>300</v>
      </c>
      <c r="DI61" s="94">
        <f t="shared" ca="1" si="140"/>
        <v>1174</v>
      </c>
      <c r="DJ61" s="94">
        <f t="shared" ca="1" si="140"/>
        <v>309</v>
      </c>
      <c r="DK61" s="94">
        <f t="shared" ca="1" si="140"/>
        <v>6887</v>
      </c>
      <c r="DL61" s="94">
        <f t="shared" ca="1" si="141"/>
        <v>0</v>
      </c>
      <c r="DM61" s="94">
        <f t="shared" ca="1" si="141"/>
        <v>490</v>
      </c>
      <c r="DN61" s="94">
        <f t="shared" ca="1" si="141"/>
        <v>327</v>
      </c>
      <c r="DO61" s="94">
        <f t="shared" ca="1" si="141"/>
        <v>0</v>
      </c>
      <c r="DP61" s="94">
        <f t="shared" ca="1" si="141"/>
        <v>0</v>
      </c>
      <c r="DQ61" s="94">
        <f t="shared" ca="1" si="141"/>
        <v>0</v>
      </c>
      <c r="DR61" s="94">
        <f t="shared" ca="1" si="141"/>
        <v>339</v>
      </c>
      <c r="DS61" s="94">
        <f t="shared" ca="1" si="141"/>
        <v>0</v>
      </c>
      <c r="DT61" s="94">
        <f t="shared" ca="1" si="141"/>
        <v>0</v>
      </c>
      <c r="DU61" s="94">
        <f t="shared" ca="1" si="141"/>
        <v>0</v>
      </c>
      <c r="DV61" s="94">
        <f t="shared" ca="1" si="142"/>
        <v>0</v>
      </c>
      <c r="DW61" s="94">
        <f t="shared" ca="1" si="142"/>
        <v>0</v>
      </c>
      <c r="DX61" s="94">
        <f t="shared" ca="1" si="142"/>
        <v>390</v>
      </c>
      <c r="DY61" s="94">
        <f t="shared" ca="1" si="142"/>
        <v>524</v>
      </c>
      <c r="DZ61" s="94">
        <f t="shared" ca="1" si="142"/>
        <v>1903</v>
      </c>
      <c r="EA61" s="94">
        <f t="shared" ca="1" si="142"/>
        <v>2031</v>
      </c>
      <c r="EB61" s="94">
        <f t="shared" ca="1" si="142"/>
        <v>1731</v>
      </c>
      <c r="EC61" s="94">
        <f t="shared" ca="1" si="142"/>
        <v>6107</v>
      </c>
      <c r="ED61" s="94">
        <f t="shared" ca="1" si="142"/>
        <v>5005</v>
      </c>
      <c r="EE61" s="94">
        <f t="shared" ca="1" si="142"/>
        <v>3283</v>
      </c>
      <c r="EF61" s="94">
        <f t="shared" ca="1" si="143"/>
        <v>2844</v>
      </c>
      <c r="EG61" s="94">
        <f t="shared" ca="1" si="143"/>
        <v>1629</v>
      </c>
      <c r="EH61" s="94">
        <f t="shared" ca="1" si="143"/>
        <v>1629</v>
      </c>
      <c r="EI61" s="94">
        <f t="shared" ca="1" si="143"/>
        <v>552</v>
      </c>
      <c r="EJ61" s="94">
        <f t="shared" ca="1" si="143"/>
        <v>461</v>
      </c>
      <c r="EK61" s="94">
        <f t="shared" ca="1" si="143"/>
        <v>256</v>
      </c>
      <c r="EL61" s="94">
        <f t="shared" ca="1" si="143"/>
        <v>111</v>
      </c>
    </row>
    <row r="62" spans="2:142" x14ac:dyDescent="0.3">
      <c r="B62" s="110" t="s">
        <v>72</v>
      </c>
      <c r="C62" s="110" t="s">
        <v>414</v>
      </c>
      <c r="D62" s="182" t="str">
        <f>IF(Menu!$D$12="PT",'Dados Financeiros'!B62,'Dados Financeiros'!C62)</f>
        <v>Provisão para riscos</v>
      </c>
      <c r="E62" s="32">
        <v>6227</v>
      </c>
      <c r="F62" s="32">
        <v>6256</v>
      </c>
      <c r="G62" s="32">
        <v>5847</v>
      </c>
      <c r="H62" s="32">
        <v>1862</v>
      </c>
      <c r="I62" s="32">
        <v>2121</v>
      </c>
      <c r="J62" s="32">
        <v>2307</v>
      </c>
      <c r="K62" s="32">
        <v>2017</v>
      </c>
      <c r="L62" s="32">
        <v>2021</v>
      </c>
      <c r="M62" s="32">
        <v>2168</v>
      </c>
      <c r="N62" s="32">
        <v>2301</v>
      </c>
      <c r="O62" s="32">
        <v>2363</v>
      </c>
      <c r="P62" s="32">
        <v>2275</v>
      </c>
      <c r="Q62" s="32">
        <v>1639</v>
      </c>
      <c r="R62" s="32">
        <v>1635</v>
      </c>
      <c r="S62" s="32">
        <v>1624</v>
      </c>
      <c r="T62" s="32">
        <v>2578</v>
      </c>
      <c r="U62" s="32">
        <v>2584</v>
      </c>
      <c r="V62" s="32">
        <v>2584</v>
      </c>
      <c r="W62" s="32">
        <v>2584</v>
      </c>
      <c r="X62" s="32">
        <v>3478</v>
      </c>
      <c r="Y62" s="32">
        <v>5204</v>
      </c>
      <c r="Z62" s="32">
        <v>5190</v>
      </c>
      <c r="AA62" s="32">
        <v>5331</v>
      </c>
      <c r="AB62" s="32">
        <v>5315</v>
      </c>
      <c r="AC62" s="32">
        <v>6803</v>
      </c>
      <c r="AD62" s="41">
        <v>6803</v>
      </c>
      <c r="AE62" s="32">
        <v>13165</v>
      </c>
      <c r="AF62" s="32">
        <v>13165</v>
      </c>
      <c r="AG62" s="32">
        <v>15520</v>
      </c>
      <c r="AH62" s="32">
        <v>18094</v>
      </c>
      <c r="AI62" s="32">
        <v>19719</v>
      </c>
      <c r="AJ62" s="32">
        <v>23921</v>
      </c>
      <c r="AK62" s="32">
        <v>30226</v>
      </c>
      <c r="AL62" s="32">
        <v>37200</v>
      </c>
      <c r="AM62" s="32">
        <v>43567</v>
      </c>
      <c r="AN62" s="32">
        <v>54226</v>
      </c>
      <c r="AO62" s="4">
        <v>68069</v>
      </c>
      <c r="AP62" s="32">
        <v>81256</v>
      </c>
      <c r="AQ62" s="32">
        <v>99178</v>
      </c>
      <c r="AR62" s="32">
        <v>110179</v>
      </c>
      <c r="AS62" s="32">
        <v>120970</v>
      </c>
      <c r="AT62" s="32">
        <v>132160</v>
      </c>
      <c r="AU62" s="32">
        <v>148611</v>
      </c>
      <c r="AV62" s="32">
        <v>157146</v>
      </c>
      <c r="AW62" s="32">
        <v>164601</v>
      </c>
      <c r="AX62" s="32">
        <v>160332</v>
      </c>
      <c r="AY62" s="32">
        <v>156475</v>
      </c>
      <c r="AZ62" s="32">
        <v>149543</v>
      </c>
      <c r="BA62" s="32">
        <v>149292</v>
      </c>
      <c r="BB62" s="32">
        <v>158091</v>
      </c>
      <c r="BC62" s="32">
        <v>154214</v>
      </c>
      <c r="BD62" s="32">
        <v>146086</v>
      </c>
      <c r="BE62" s="32">
        <v>140856</v>
      </c>
      <c r="BF62" s="32">
        <v>138251</v>
      </c>
      <c r="BG62" s="32">
        <v>143942</v>
      </c>
      <c r="BH62" s="32">
        <v>143977</v>
      </c>
      <c r="BI62" s="32">
        <v>141659</v>
      </c>
      <c r="BJ62" s="32">
        <v>131846</v>
      </c>
      <c r="BK62" s="32">
        <v>118644</v>
      </c>
      <c r="BL62" s="32">
        <v>103361</v>
      </c>
      <c r="BM62" s="32">
        <v>93494</v>
      </c>
      <c r="BN62" s="32">
        <v>72976</v>
      </c>
      <c r="BO62" s="32">
        <v>64265</v>
      </c>
      <c r="BP62" s="32">
        <v>63293</v>
      </c>
      <c r="BQ62" s="32">
        <v>60798</v>
      </c>
      <c r="BR62" s="32">
        <v>54884</v>
      </c>
      <c r="BS62" s="32">
        <v>44885</v>
      </c>
      <c r="BT62" s="32">
        <v>35033</v>
      </c>
      <c r="BU62" s="32">
        <v>33099</v>
      </c>
      <c r="BV62" s="32">
        <v>30736</v>
      </c>
      <c r="BW62" s="32">
        <v>29327</v>
      </c>
      <c r="BX62" s="32">
        <v>31840</v>
      </c>
      <c r="BY62" s="32">
        <v>33121</v>
      </c>
      <c r="BZ62" s="32">
        <v>32071</v>
      </c>
      <c r="CA62" s="32">
        <v>34096</v>
      </c>
      <c r="CB62" s="32">
        <v>36939</v>
      </c>
      <c r="CC62" s="32">
        <v>31845</v>
      </c>
      <c r="CD62" s="32">
        <v>32857</v>
      </c>
      <c r="CE62" s="32">
        <v>32281</v>
      </c>
      <c r="CF62" s="32">
        <v>30813</v>
      </c>
      <c r="CH62" s="94">
        <f t="shared" ca="1" si="138"/>
        <v>6256</v>
      </c>
      <c r="CI62" s="94">
        <f t="shared" ca="1" si="138"/>
        <v>5847</v>
      </c>
      <c r="CJ62" s="94">
        <f t="shared" ca="1" si="138"/>
        <v>1862</v>
      </c>
      <c r="CK62" s="94">
        <f t="shared" ca="1" si="138"/>
        <v>2307</v>
      </c>
      <c r="CL62" s="94">
        <f t="shared" ca="1" si="138"/>
        <v>2017</v>
      </c>
      <c r="CM62" s="94">
        <f t="shared" ca="1" si="138"/>
        <v>2021</v>
      </c>
      <c r="CN62" s="94">
        <f t="shared" ca="1" si="138"/>
        <v>2301</v>
      </c>
      <c r="CO62" s="94">
        <f t="shared" ca="1" si="138"/>
        <v>2363</v>
      </c>
      <c r="CP62" s="94">
        <f t="shared" ca="1" si="138"/>
        <v>2275</v>
      </c>
      <c r="CQ62" s="94">
        <f t="shared" ca="1" si="138"/>
        <v>1635</v>
      </c>
      <c r="CR62" s="94">
        <f t="shared" ca="1" si="139"/>
        <v>1624</v>
      </c>
      <c r="CS62" s="94">
        <f t="shared" ca="1" si="139"/>
        <v>2578</v>
      </c>
      <c r="CT62" s="94">
        <f t="shared" ca="1" si="139"/>
        <v>2584</v>
      </c>
      <c r="CU62" s="94">
        <f t="shared" ca="1" si="139"/>
        <v>2584</v>
      </c>
      <c r="CV62" s="94">
        <f t="shared" ca="1" si="139"/>
        <v>3478</v>
      </c>
      <c r="CW62" s="94">
        <f t="shared" ca="1" si="139"/>
        <v>5315</v>
      </c>
      <c r="CX62" s="94">
        <f t="shared" ca="1" si="139"/>
        <v>6803</v>
      </c>
      <c r="CY62" s="94">
        <f t="shared" ca="1" si="139"/>
        <v>13165</v>
      </c>
      <c r="CZ62" s="94">
        <f t="shared" ca="1" si="139"/>
        <v>18094</v>
      </c>
      <c r="DA62" s="94">
        <f t="shared" ca="1" si="139"/>
        <v>19719</v>
      </c>
      <c r="DB62" s="94">
        <f t="shared" ca="1" si="140"/>
        <v>23921</v>
      </c>
      <c r="DC62" s="94">
        <f t="shared" ca="1" si="140"/>
        <v>37200</v>
      </c>
      <c r="DD62" s="94">
        <f t="shared" ca="1" si="140"/>
        <v>43567</v>
      </c>
      <c r="DE62" s="94">
        <f t="shared" ca="1" si="140"/>
        <v>54226</v>
      </c>
      <c r="DF62" s="94">
        <f t="shared" ca="1" si="140"/>
        <v>81256</v>
      </c>
      <c r="DG62" s="94">
        <f t="shared" ca="1" si="140"/>
        <v>99178</v>
      </c>
      <c r="DH62" s="94">
        <f t="shared" ca="1" si="140"/>
        <v>110179</v>
      </c>
      <c r="DI62" s="94">
        <f t="shared" ca="1" si="140"/>
        <v>132160</v>
      </c>
      <c r="DJ62" s="94">
        <f t="shared" ca="1" si="140"/>
        <v>148611</v>
      </c>
      <c r="DK62" s="94">
        <f t="shared" ca="1" si="140"/>
        <v>157146</v>
      </c>
      <c r="DL62" s="94">
        <f t="shared" ca="1" si="141"/>
        <v>160332</v>
      </c>
      <c r="DM62" s="94">
        <f t="shared" ca="1" si="141"/>
        <v>156475</v>
      </c>
      <c r="DN62" s="94">
        <f t="shared" ca="1" si="141"/>
        <v>149543</v>
      </c>
      <c r="DO62" s="94">
        <f t="shared" ca="1" si="141"/>
        <v>158091</v>
      </c>
      <c r="DP62" s="94">
        <f t="shared" ca="1" si="141"/>
        <v>154214</v>
      </c>
      <c r="DQ62" s="94">
        <f t="shared" ca="1" si="141"/>
        <v>146086</v>
      </c>
      <c r="DR62" s="94">
        <f t="shared" ca="1" si="141"/>
        <v>138251</v>
      </c>
      <c r="DS62" s="94">
        <f t="shared" ca="1" si="141"/>
        <v>143942</v>
      </c>
      <c r="DT62" s="94">
        <f t="shared" ca="1" si="141"/>
        <v>143977</v>
      </c>
      <c r="DU62" s="94">
        <f t="shared" ca="1" si="141"/>
        <v>131846</v>
      </c>
      <c r="DV62" s="94">
        <f t="shared" ca="1" si="142"/>
        <v>118644</v>
      </c>
      <c r="DW62" s="94">
        <f t="shared" ca="1" si="142"/>
        <v>103361</v>
      </c>
      <c r="DX62" s="94">
        <f t="shared" ca="1" si="142"/>
        <v>72976</v>
      </c>
      <c r="DY62" s="94">
        <f t="shared" ca="1" si="142"/>
        <v>64265</v>
      </c>
      <c r="DZ62" s="94">
        <f t="shared" ca="1" si="142"/>
        <v>63293</v>
      </c>
      <c r="EA62" s="94">
        <f t="shared" ca="1" si="142"/>
        <v>54884</v>
      </c>
      <c r="EB62" s="94">
        <f t="shared" ca="1" si="142"/>
        <v>44885</v>
      </c>
      <c r="EC62" s="94">
        <f t="shared" ca="1" si="142"/>
        <v>35033</v>
      </c>
      <c r="ED62" s="94">
        <f t="shared" ca="1" si="142"/>
        <v>30736</v>
      </c>
      <c r="EE62" s="94">
        <f t="shared" ca="1" si="142"/>
        <v>29327</v>
      </c>
      <c r="EF62" s="94">
        <f t="shared" ca="1" si="143"/>
        <v>31840</v>
      </c>
      <c r="EG62" s="94">
        <f t="shared" ca="1" si="143"/>
        <v>32071</v>
      </c>
      <c r="EH62" s="94">
        <f t="shared" ca="1" si="143"/>
        <v>34096</v>
      </c>
      <c r="EI62" s="94">
        <f t="shared" ca="1" si="143"/>
        <v>36939</v>
      </c>
      <c r="EJ62" s="94">
        <f t="shared" ca="1" si="143"/>
        <v>32857</v>
      </c>
      <c r="EK62" s="94">
        <f t="shared" ca="1" si="143"/>
        <v>32281</v>
      </c>
      <c r="EL62" s="94">
        <f t="shared" ca="1" si="143"/>
        <v>30813</v>
      </c>
    </row>
    <row r="63" spans="2:142" x14ac:dyDescent="0.3">
      <c r="B63" s="110" t="s">
        <v>581</v>
      </c>
      <c r="C63" s="110" t="s">
        <v>411</v>
      </c>
      <c r="D63" s="182" t="str">
        <f>IF(Menu!$D$12="PT",'Dados Financeiros'!B63,'Dados Financeiros'!C63)</f>
        <v>Provisão para garantias - LP</v>
      </c>
      <c r="E63" s="32">
        <v>218</v>
      </c>
      <c r="F63" s="32">
        <v>218</v>
      </c>
      <c r="G63" s="32">
        <v>218</v>
      </c>
      <c r="H63" s="32">
        <v>402</v>
      </c>
      <c r="I63" s="32">
        <v>2654</v>
      </c>
      <c r="J63" s="32">
        <v>2842</v>
      </c>
      <c r="K63" s="32">
        <v>2766</v>
      </c>
      <c r="L63" s="32">
        <v>3182</v>
      </c>
      <c r="M63" s="32">
        <v>3497</v>
      </c>
      <c r="N63" s="32">
        <v>3085</v>
      </c>
      <c r="O63" s="32">
        <v>4012</v>
      </c>
      <c r="P63" s="32">
        <v>4604</v>
      </c>
      <c r="Q63" s="32">
        <v>5353</v>
      </c>
      <c r="R63" s="32">
        <v>6300</v>
      </c>
      <c r="S63" s="32">
        <v>9776</v>
      </c>
      <c r="T63" s="32">
        <v>8033</v>
      </c>
      <c r="U63" s="32">
        <v>8695</v>
      </c>
      <c r="V63" s="32">
        <v>9324</v>
      </c>
      <c r="W63" s="32">
        <v>10306</v>
      </c>
      <c r="X63" s="32">
        <v>11172</v>
      </c>
      <c r="Y63" s="32">
        <v>12997</v>
      </c>
      <c r="Z63" s="32">
        <v>9331</v>
      </c>
      <c r="AA63" s="32">
        <v>14093</v>
      </c>
      <c r="AB63" s="32">
        <v>10144</v>
      </c>
      <c r="AC63" s="32">
        <v>16163</v>
      </c>
      <c r="AD63" s="41">
        <v>11910</v>
      </c>
      <c r="AE63" s="32">
        <v>18365</v>
      </c>
      <c r="AF63" s="32">
        <v>13983</v>
      </c>
      <c r="AG63" s="32">
        <v>15462</v>
      </c>
      <c r="AH63" s="32">
        <v>17280</v>
      </c>
      <c r="AI63" s="32">
        <v>18394</v>
      </c>
      <c r="AJ63" s="32">
        <v>19901</v>
      </c>
      <c r="AK63" s="32">
        <v>19783</v>
      </c>
      <c r="AL63" s="32">
        <v>20152</v>
      </c>
      <c r="AM63" s="32">
        <v>20513</v>
      </c>
      <c r="AN63" s="32">
        <v>20493</v>
      </c>
      <c r="AO63" s="4">
        <v>20243</v>
      </c>
      <c r="AP63" s="32">
        <v>19322</v>
      </c>
      <c r="AQ63" s="32">
        <v>19038</v>
      </c>
      <c r="AR63" s="32">
        <v>12738</v>
      </c>
      <c r="AS63" s="32">
        <v>11684</v>
      </c>
      <c r="AT63" s="32">
        <v>10736</v>
      </c>
      <c r="AU63" s="32">
        <v>8682</v>
      </c>
      <c r="AV63" s="32">
        <v>6634</v>
      </c>
      <c r="AW63" s="32">
        <v>6388</v>
      </c>
      <c r="AX63" s="32">
        <v>10695</v>
      </c>
      <c r="AY63" s="32">
        <v>11653</v>
      </c>
      <c r="AZ63" s="32">
        <v>5363</v>
      </c>
      <c r="BA63" s="32">
        <v>4536</v>
      </c>
      <c r="BB63" s="32">
        <v>4100</v>
      </c>
      <c r="BC63" s="32">
        <v>3379</v>
      </c>
      <c r="BD63" s="32">
        <v>2870</v>
      </c>
      <c r="BE63" s="32">
        <v>2518</v>
      </c>
      <c r="BF63" s="32">
        <v>2174</v>
      </c>
      <c r="BG63" s="32">
        <v>2502</v>
      </c>
      <c r="BH63" s="32">
        <v>3434</v>
      </c>
      <c r="BI63" s="32">
        <v>2241</v>
      </c>
      <c r="BJ63" s="32">
        <v>1612</v>
      </c>
      <c r="BK63" s="32">
        <v>3608</v>
      </c>
      <c r="BL63" s="32">
        <v>2795</v>
      </c>
      <c r="BM63" s="32">
        <v>2608</v>
      </c>
      <c r="BN63" s="32">
        <v>2525</v>
      </c>
      <c r="BO63" s="32">
        <v>2341</v>
      </c>
      <c r="BP63" s="32">
        <v>2106</v>
      </c>
      <c r="BQ63" s="32">
        <v>2293</v>
      </c>
      <c r="BR63" s="32">
        <v>1606</v>
      </c>
      <c r="BS63" s="32">
        <v>3746</v>
      </c>
      <c r="BT63" s="32">
        <v>3431</v>
      </c>
      <c r="BU63" s="32">
        <v>3746</v>
      </c>
      <c r="BV63" s="32">
        <v>3881</v>
      </c>
      <c r="BW63" s="32">
        <v>3767</v>
      </c>
      <c r="BX63" s="32">
        <v>4574</v>
      </c>
      <c r="BY63" s="32">
        <v>4707</v>
      </c>
      <c r="BZ63" s="32">
        <v>4430</v>
      </c>
      <c r="CA63" s="32">
        <v>5628</v>
      </c>
      <c r="CB63" s="32">
        <v>5817</v>
      </c>
      <c r="CC63" s="32">
        <v>5621</v>
      </c>
      <c r="CD63" s="32">
        <v>5278</v>
      </c>
      <c r="CE63" s="32">
        <v>7500</v>
      </c>
      <c r="CF63" s="32">
        <v>10934</v>
      </c>
      <c r="CH63" s="94">
        <f t="shared" ca="1" si="138"/>
        <v>218</v>
      </c>
      <c r="CI63" s="94">
        <f t="shared" ca="1" si="138"/>
        <v>218</v>
      </c>
      <c r="CJ63" s="94">
        <f t="shared" ca="1" si="138"/>
        <v>402</v>
      </c>
      <c r="CK63" s="94">
        <f t="shared" ca="1" si="138"/>
        <v>2842</v>
      </c>
      <c r="CL63" s="94">
        <f t="shared" ca="1" si="138"/>
        <v>2766</v>
      </c>
      <c r="CM63" s="94">
        <f t="shared" ca="1" si="138"/>
        <v>3182</v>
      </c>
      <c r="CN63" s="94">
        <f t="shared" ca="1" si="138"/>
        <v>3085</v>
      </c>
      <c r="CO63" s="94">
        <f t="shared" ca="1" si="138"/>
        <v>4012</v>
      </c>
      <c r="CP63" s="94">
        <f t="shared" ca="1" si="138"/>
        <v>4604</v>
      </c>
      <c r="CQ63" s="94">
        <f t="shared" ca="1" si="138"/>
        <v>6300</v>
      </c>
      <c r="CR63" s="94">
        <f t="shared" ca="1" si="139"/>
        <v>9776</v>
      </c>
      <c r="CS63" s="94">
        <f t="shared" ca="1" si="139"/>
        <v>8033</v>
      </c>
      <c r="CT63" s="94">
        <f t="shared" ca="1" si="139"/>
        <v>9324</v>
      </c>
      <c r="CU63" s="94">
        <f t="shared" ca="1" si="139"/>
        <v>10306</v>
      </c>
      <c r="CV63" s="94">
        <f t="shared" ca="1" si="139"/>
        <v>11172</v>
      </c>
      <c r="CW63" s="94">
        <f t="shared" ca="1" si="139"/>
        <v>10144</v>
      </c>
      <c r="CX63" s="94">
        <f t="shared" ca="1" si="139"/>
        <v>11910</v>
      </c>
      <c r="CY63" s="94">
        <f t="shared" ca="1" si="139"/>
        <v>13983</v>
      </c>
      <c r="CZ63" s="94">
        <f t="shared" ca="1" si="139"/>
        <v>17280</v>
      </c>
      <c r="DA63" s="94">
        <f t="shared" ca="1" si="139"/>
        <v>18394</v>
      </c>
      <c r="DB63" s="94">
        <f t="shared" ca="1" si="140"/>
        <v>19901</v>
      </c>
      <c r="DC63" s="94">
        <f t="shared" ca="1" si="140"/>
        <v>20152</v>
      </c>
      <c r="DD63" s="94">
        <f t="shared" ca="1" si="140"/>
        <v>20513</v>
      </c>
      <c r="DE63" s="94">
        <f t="shared" ca="1" si="140"/>
        <v>20493</v>
      </c>
      <c r="DF63" s="94">
        <f t="shared" ca="1" si="140"/>
        <v>19322</v>
      </c>
      <c r="DG63" s="94">
        <f t="shared" ca="1" si="140"/>
        <v>19038</v>
      </c>
      <c r="DH63" s="94">
        <f t="shared" ca="1" si="140"/>
        <v>12738</v>
      </c>
      <c r="DI63" s="94">
        <f t="shared" ca="1" si="140"/>
        <v>10736</v>
      </c>
      <c r="DJ63" s="94">
        <f t="shared" ca="1" si="140"/>
        <v>8682</v>
      </c>
      <c r="DK63" s="94">
        <f t="shared" ca="1" si="140"/>
        <v>6634</v>
      </c>
      <c r="DL63" s="94">
        <f t="shared" ca="1" si="141"/>
        <v>10695</v>
      </c>
      <c r="DM63" s="94">
        <f t="shared" ca="1" si="141"/>
        <v>11653</v>
      </c>
      <c r="DN63" s="94">
        <f t="shared" ca="1" si="141"/>
        <v>5363</v>
      </c>
      <c r="DO63" s="94">
        <f t="shared" ca="1" si="141"/>
        <v>4100</v>
      </c>
      <c r="DP63" s="94">
        <f t="shared" ca="1" si="141"/>
        <v>3379</v>
      </c>
      <c r="DQ63" s="94">
        <f t="shared" ca="1" si="141"/>
        <v>2870</v>
      </c>
      <c r="DR63" s="94">
        <f t="shared" ca="1" si="141"/>
        <v>2174</v>
      </c>
      <c r="DS63" s="94">
        <f t="shared" ca="1" si="141"/>
        <v>2502</v>
      </c>
      <c r="DT63" s="94">
        <f t="shared" ca="1" si="141"/>
        <v>3434</v>
      </c>
      <c r="DU63" s="94">
        <f t="shared" ca="1" si="141"/>
        <v>1612</v>
      </c>
      <c r="DV63" s="94">
        <f t="shared" ca="1" si="142"/>
        <v>3608</v>
      </c>
      <c r="DW63" s="94">
        <f t="shared" ca="1" si="142"/>
        <v>2795</v>
      </c>
      <c r="DX63" s="94">
        <f t="shared" ca="1" si="142"/>
        <v>2525</v>
      </c>
      <c r="DY63" s="94">
        <f t="shared" ca="1" si="142"/>
        <v>2341</v>
      </c>
      <c r="DZ63" s="94">
        <f t="shared" ca="1" si="142"/>
        <v>2106</v>
      </c>
      <c r="EA63" s="94">
        <f t="shared" ca="1" si="142"/>
        <v>1606</v>
      </c>
      <c r="EB63" s="94">
        <f t="shared" ca="1" si="142"/>
        <v>3746</v>
      </c>
      <c r="EC63" s="94">
        <f t="shared" ca="1" si="142"/>
        <v>3431</v>
      </c>
      <c r="ED63" s="94">
        <f t="shared" ca="1" si="142"/>
        <v>3881</v>
      </c>
      <c r="EE63" s="94">
        <f t="shared" ca="1" si="142"/>
        <v>3767</v>
      </c>
      <c r="EF63" s="94">
        <f t="shared" ca="1" si="143"/>
        <v>4574</v>
      </c>
      <c r="EG63" s="94">
        <f t="shared" ca="1" si="143"/>
        <v>4430</v>
      </c>
      <c r="EH63" s="94">
        <f t="shared" ca="1" si="143"/>
        <v>5628</v>
      </c>
      <c r="EI63" s="94">
        <f t="shared" ca="1" si="143"/>
        <v>5817</v>
      </c>
      <c r="EJ63" s="94">
        <f t="shared" ca="1" si="143"/>
        <v>5278</v>
      </c>
      <c r="EK63" s="94">
        <f t="shared" ca="1" si="143"/>
        <v>7500</v>
      </c>
      <c r="EL63" s="94">
        <f t="shared" ca="1" si="143"/>
        <v>10934</v>
      </c>
    </row>
    <row r="64" spans="2:142" x14ac:dyDescent="0.3">
      <c r="B64" s="110" t="s">
        <v>582</v>
      </c>
      <c r="C64" s="110" t="s">
        <v>409</v>
      </c>
      <c r="D64" s="182" t="str">
        <f>IF(Menu!$D$12="PT",'Dados Financeiros'!B64,'Dados Financeiros'!C64)</f>
        <v>Impostos e contribuições diferidos - LP</v>
      </c>
      <c r="E64" s="32">
        <v>16169</v>
      </c>
      <c r="F64" s="32">
        <v>18518</v>
      </c>
      <c r="G64" s="32">
        <v>21340</v>
      </c>
      <c r="H64" s="32">
        <v>21789</v>
      </c>
      <c r="I64" s="32">
        <v>22462</v>
      </c>
      <c r="J64" s="32">
        <v>25958</v>
      </c>
      <c r="K64" s="32">
        <v>29085</v>
      </c>
      <c r="L64" s="32">
        <v>33357</v>
      </c>
      <c r="M64" s="32">
        <v>37328</v>
      </c>
      <c r="N64" s="32">
        <v>41194</v>
      </c>
      <c r="O64" s="32">
        <v>48570</v>
      </c>
      <c r="P64" s="32">
        <v>17798</v>
      </c>
      <c r="Q64" s="32">
        <v>59483</v>
      </c>
      <c r="R64" s="32">
        <v>26214</v>
      </c>
      <c r="S64" s="32">
        <v>25066</v>
      </c>
      <c r="T64" s="32">
        <v>41074</v>
      </c>
      <c r="U64" s="32">
        <v>36522</v>
      </c>
      <c r="V64" s="32">
        <v>39959</v>
      </c>
      <c r="W64" s="32">
        <v>37805</v>
      </c>
      <c r="X64" s="32">
        <v>37574</v>
      </c>
      <c r="Y64" s="32">
        <v>38487</v>
      </c>
      <c r="Z64" s="32">
        <v>34691</v>
      </c>
      <c r="AA64" s="32">
        <v>43903</v>
      </c>
      <c r="AB64" s="32">
        <v>38777</v>
      </c>
      <c r="AC64" s="32">
        <v>43816</v>
      </c>
      <c r="AD64" s="41">
        <v>39039</v>
      </c>
      <c r="AE64" s="32">
        <v>33739</v>
      </c>
      <c r="AF64" s="32">
        <v>27027</v>
      </c>
      <c r="AG64" s="32">
        <v>27100</v>
      </c>
      <c r="AH64" s="32">
        <v>23730</v>
      </c>
      <c r="AI64" s="32">
        <v>18466</v>
      </c>
      <c r="AJ64" s="32">
        <v>14061</v>
      </c>
      <c r="AK64" s="32">
        <v>16526</v>
      </c>
      <c r="AL64" s="32">
        <v>16862</v>
      </c>
      <c r="AM64" s="32">
        <v>18435</v>
      </c>
      <c r="AN64" s="32">
        <v>19949</v>
      </c>
      <c r="AO64" s="4">
        <v>21201</v>
      </c>
      <c r="AP64" s="32">
        <v>9078</v>
      </c>
      <c r="AQ64" s="32">
        <v>5414</v>
      </c>
      <c r="AR64" s="32">
        <v>3062</v>
      </c>
      <c r="AS64" s="32">
        <v>2108</v>
      </c>
      <c r="AT64" s="32">
        <v>1563</v>
      </c>
      <c r="AU64" s="32">
        <v>1464</v>
      </c>
      <c r="AV64" s="32">
        <v>1451</v>
      </c>
      <c r="AW64" s="32">
        <v>1965</v>
      </c>
      <c r="AX64" s="32">
        <v>2061</v>
      </c>
      <c r="AY64" s="32">
        <v>2205</v>
      </c>
      <c r="AZ64" s="32">
        <v>1822</v>
      </c>
      <c r="BA64" s="32">
        <v>1821</v>
      </c>
      <c r="BB64" s="32">
        <v>1995</v>
      </c>
      <c r="BC64" s="32">
        <v>1320</v>
      </c>
      <c r="BD64" s="32">
        <v>265</v>
      </c>
      <c r="BE64" s="32">
        <v>739</v>
      </c>
      <c r="BF64" s="32">
        <v>720</v>
      </c>
      <c r="BG64" s="32">
        <v>765</v>
      </c>
      <c r="BH64" s="32">
        <v>1204</v>
      </c>
      <c r="BI64" s="32">
        <v>3038</v>
      </c>
      <c r="BJ64" s="32">
        <v>3867</v>
      </c>
      <c r="BK64" s="32">
        <v>4890</v>
      </c>
      <c r="BL64" s="32">
        <v>5586</v>
      </c>
      <c r="BM64" s="32">
        <v>3362</v>
      </c>
      <c r="BN64" s="32">
        <v>3212</v>
      </c>
      <c r="BO64" s="32">
        <v>1198</v>
      </c>
      <c r="BP64" s="32">
        <v>1390</v>
      </c>
      <c r="BQ64" s="32">
        <v>1367</v>
      </c>
      <c r="BR64" s="32">
        <v>1859</v>
      </c>
      <c r="BS64" s="32">
        <v>1676</v>
      </c>
      <c r="BT64" s="32">
        <v>1399</v>
      </c>
      <c r="BU64" s="32">
        <v>1288</v>
      </c>
      <c r="BV64" s="32">
        <v>1450</v>
      </c>
      <c r="BW64" s="32">
        <v>1390</v>
      </c>
      <c r="BX64" s="32">
        <v>1137</v>
      </c>
      <c r="BY64" s="32">
        <v>1024</v>
      </c>
      <c r="BZ64" s="32">
        <v>899</v>
      </c>
      <c r="CA64" s="32">
        <v>649</v>
      </c>
      <c r="CB64" s="32">
        <v>742</v>
      </c>
      <c r="CC64" s="32">
        <v>710</v>
      </c>
      <c r="CD64" s="32">
        <v>383</v>
      </c>
      <c r="CE64" s="32">
        <v>295</v>
      </c>
      <c r="CF64" s="32">
        <v>390</v>
      </c>
      <c r="CH64" s="94">
        <f t="shared" ca="1" si="138"/>
        <v>18518</v>
      </c>
      <c r="CI64" s="94">
        <f t="shared" ca="1" si="138"/>
        <v>21340</v>
      </c>
      <c r="CJ64" s="94">
        <f t="shared" ca="1" si="138"/>
        <v>21789</v>
      </c>
      <c r="CK64" s="94">
        <f t="shared" ca="1" si="138"/>
        <v>25958</v>
      </c>
      <c r="CL64" s="94">
        <f t="shared" ca="1" si="138"/>
        <v>29085</v>
      </c>
      <c r="CM64" s="94">
        <f t="shared" ca="1" si="138"/>
        <v>33357</v>
      </c>
      <c r="CN64" s="94">
        <f t="shared" ca="1" si="138"/>
        <v>41194</v>
      </c>
      <c r="CO64" s="94">
        <f t="shared" ca="1" si="138"/>
        <v>48570</v>
      </c>
      <c r="CP64" s="94">
        <f t="shared" ca="1" si="138"/>
        <v>17798</v>
      </c>
      <c r="CQ64" s="94">
        <f t="shared" ca="1" si="138"/>
        <v>26214</v>
      </c>
      <c r="CR64" s="94">
        <f t="shared" ca="1" si="139"/>
        <v>25066</v>
      </c>
      <c r="CS64" s="94">
        <f t="shared" ca="1" si="139"/>
        <v>41074</v>
      </c>
      <c r="CT64" s="94">
        <f t="shared" ca="1" si="139"/>
        <v>39959</v>
      </c>
      <c r="CU64" s="94">
        <f t="shared" ca="1" si="139"/>
        <v>37805</v>
      </c>
      <c r="CV64" s="94">
        <f t="shared" ca="1" si="139"/>
        <v>37574</v>
      </c>
      <c r="CW64" s="94">
        <f t="shared" ca="1" si="139"/>
        <v>38777</v>
      </c>
      <c r="CX64" s="94">
        <f t="shared" ca="1" si="139"/>
        <v>39039</v>
      </c>
      <c r="CY64" s="94">
        <f t="shared" ca="1" si="139"/>
        <v>27027</v>
      </c>
      <c r="CZ64" s="94">
        <f t="shared" ca="1" si="139"/>
        <v>23730</v>
      </c>
      <c r="DA64" s="94">
        <f t="shared" ca="1" si="139"/>
        <v>18466</v>
      </c>
      <c r="DB64" s="94">
        <f t="shared" ca="1" si="140"/>
        <v>14061</v>
      </c>
      <c r="DC64" s="94">
        <f t="shared" ca="1" si="140"/>
        <v>16862</v>
      </c>
      <c r="DD64" s="94">
        <f t="shared" ca="1" si="140"/>
        <v>18435</v>
      </c>
      <c r="DE64" s="94">
        <f t="shared" ca="1" si="140"/>
        <v>19949</v>
      </c>
      <c r="DF64" s="94">
        <f t="shared" ca="1" si="140"/>
        <v>9078</v>
      </c>
      <c r="DG64" s="94">
        <f t="shared" ca="1" si="140"/>
        <v>5414</v>
      </c>
      <c r="DH64" s="94">
        <f t="shared" ca="1" si="140"/>
        <v>3062</v>
      </c>
      <c r="DI64" s="94">
        <f t="shared" ca="1" si="140"/>
        <v>1563</v>
      </c>
      <c r="DJ64" s="94">
        <f t="shared" ca="1" si="140"/>
        <v>1464</v>
      </c>
      <c r="DK64" s="94">
        <f t="shared" ca="1" si="140"/>
        <v>1451</v>
      </c>
      <c r="DL64" s="94">
        <f t="shared" ca="1" si="141"/>
        <v>2061</v>
      </c>
      <c r="DM64" s="94">
        <f t="shared" ca="1" si="141"/>
        <v>2205</v>
      </c>
      <c r="DN64" s="94">
        <f t="shared" ca="1" si="141"/>
        <v>1822</v>
      </c>
      <c r="DO64" s="94">
        <f t="shared" ca="1" si="141"/>
        <v>1995</v>
      </c>
      <c r="DP64" s="94">
        <f t="shared" ca="1" si="141"/>
        <v>1320</v>
      </c>
      <c r="DQ64" s="94">
        <f t="shared" ca="1" si="141"/>
        <v>265</v>
      </c>
      <c r="DR64" s="94">
        <f t="shared" ca="1" si="141"/>
        <v>720</v>
      </c>
      <c r="DS64" s="94">
        <f t="shared" ca="1" si="141"/>
        <v>765</v>
      </c>
      <c r="DT64" s="94">
        <f t="shared" ca="1" si="141"/>
        <v>1204</v>
      </c>
      <c r="DU64" s="94">
        <f t="shared" ca="1" si="141"/>
        <v>3867</v>
      </c>
      <c r="DV64" s="94">
        <f t="shared" ca="1" si="142"/>
        <v>4890</v>
      </c>
      <c r="DW64" s="94">
        <f t="shared" ca="1" si="142"/>
        <v>5586</v>
      </c>
      <c r="DX64" s="94">
        <f t="shared" ca="1" si="142"/>
        <v>3212</v>
      </c>
      <c r="DY64" s="94">
        <f t="shared" ca="1" si="142"/>
        <v>1198</v>
      </c>
      <c r="DZ64" s="94">
        <f t="shared" ca="1" si="142"/>
        <v>1390</v>
      </c>
      <c r="EA64" s="94">
        <f t="shared" ca="1" si="142"/>
        <v>1859</v>
      </c>
      <c r="EB64" s="94">
        <f t="shared" ca="1" si="142"/>
        <v>1676</v>
      </c>
      <c r="EC64" s="94">
        <f t="shared" ca="1" si="142"/>
        <v>1399</v>
      </c>
      <c r="ED64" s="94">
        <f t="shared" ca="1" si="142"/>
        <v>1450</v>
      </c>
      <c r="EE64" s="94">
        <f t="shared" ca="1" si="142"/>
        <v>1390</v>
      </c>
      <c r="EF64" s="94">
        <f t="shared" ca="1" si="143"/>
        <v>1137</v>
      </c>
      <c r="EG64" s="94">
        <f t="shared" ca="1" si="143"/>
        <v>899</v>
      </c>
      <c r="EH64" s="94">
        <f t="shared" ca="1" si="143"/>
        <v>649</v>
      </c>
      <c r="EI64" s="94">
        <f t="shared" ca="1" si="143"/>
        <v>742</v>
      </c>
      <c r="EJ64" s="94">
        <f t="shared" ca="1" si="143"/>
        <v>383</v>
      </c>
      <c r="EK64" s="94">
        <f t="shared" ca="1" si="143"/>
        <v>295</v>
      </c>
      <c r="EL64" s="94">
        <f t="shared" ca="1" si="143"/>
        <v>390</v>
      </c>
    </row>
    <row r="65" spans="2:142" x14ac:dyDescent="0.3">
      <c r="B65" s="110" t="s">
        <v>71</v>
      </c>
      <c r="C65" s="110" t="s">
        <v>393</v>
      </c>
      <c r="D65" s="182" t="str">
        <f>IF(Menu!$D$12="PT",'Dados Financeiros'!B65,'Dados Financeiros'!C65)</f>
        <v>Participação em consórcios</v>
      </c>
      <c r="E65" s="32">
        <v>4854</v>
      </c>
      <c r="F65" s="32">
        <v>6779</v>
      </c>
      <c r="G65" s="32">
        <v>5595</v>
      </c>
      <c r="H65" s="32">
        <v>6548</v>
      </c>
      <c r="I65" s="32">
        <v>6209</v>
      </c>
      <c r="J65" s="32">
        <v>19863</v>
      </c>
      <c r="K65" s="32">
        <v>5535</v>
      </c>
      <c r="L65" s="32">
        <v>5728</v>
      </c>
      <c r="M65" s="32">
        <v>8040</v>
      </c>
      <c r="N65" s="32">
        <v>8892</v>
      </c>
      <c r="O65" s="32">
        <v>6850</v>
      </c>
      <c r="P65" s="32">
        <v>6642</v>
      </c>
      <c r="Q65" s="32">
        <v>6908</v>
      </c>
      <c r="R65" s="32">
        <v>11759</v>
      </c>
      <c r="S65" s="32">
        <v>16363</v>
      </c>
      <c r="T65" s="32">
        <v>20909</v>
      </c>
      <c r="U65" s="32">
        <v>27489</v>
      </c>
      <c r="V65" s="32">
        <v>29243</v>
      </c>
      <c r="W65" s="32">
        <v>30297</v>
      </c>
      <c r="X65" s="32">
        <v>32405</v>
      </c>
      <c r="Y65" s="32">
        <v>33280</v>
      </c>
      <c r="Z65" s="32">
        <v>35772</v>
      </c>
      <c r="AA65" s="32">
        <v>35410</v>
      </c>
      <c r="AB65" s="32">
        <v>37708</v>
      </c>
      <c r="AC65" s="32">
        <v>36204</v>
      </c>
      <c r="AD65" s="41">
        <v>38452</v>
      </c>
      <c r="AE65" s="32">
        <v>10697</v>
      </c>
      <c r="AF65" s="32">
        <v>10627</v>
      </c>
      <c r="AG65" s="32">
        <v>13611</v>
      </c>
      <c r="AH65" s="32">
        <v>10551</v>
      </c>
      <c r="AI65" s="32">
        <v>10519</v>
      </c>
      <c r="AJ65" s="32">
        <v>10982</v>
      </c>
      <c r="AK65" s="32">
        <v>10969</v>
      </c>
      <c r="AL65" s="32">
        <v>10257</v>
      </c>
      <c r="AM65" s="32">
        <v>10320</v>
      </c>
      <c r="AN65" s="32">
        <v>11225</v>
      </c>
      <c r="AO65" s="4">
        <v>11572</v>
      </c>
      <c r="AP65" s="32">
        <v>10942</v>
      </c>
      <c r="AQ65" s="32">
        <v>10942</v>
      </c>
      <c r="AR65" s="32">
        <v>10942</v>
      </c>
      <c r="AS65" s="32">
        <v>12318</v>
      </c>
      <c r="AT65" s="32">
        <v>12829</v>
      </c>
      <c r="AU65" s="32">
        <v>12779</v>
      </c>
      <c r="AV65" s="32">
        <v>12784</v>
      </c>
      <c r="AW65" s="32">
        <v>12783</v>
      </c>
      <c r="AX65" s="32">
        <v>12923</v>
      </c>
      <c r="AY65" s="32">
        <v>15380</v>
      </c>
      <c r="AZ65" s="32">
        <v>4231</v>
      </c>
      <c r="BA65" s="32">
        <v>3553</v>
      </c>
      <c r="BB65" s="32">
        <v>4179</v>
      </c>
      <c r="BC65" s="32">
        <v>3501</v>
      </c>
      <c r="BD65" s="32">
        <v>4426</v>
      </c>
      <c r="BE65" s="32">
        <v>3558</v>
      </c>
      <c r="BF65" s="32">
        <v>3596</v>
      </c>
      <c r="BG65" s="32">
        <v>3464</v>
      </c>
      <c r="BH65" s="32">
        <v>3601</v>
      </c>
      <c r="BI65" s="32">
        <v>3580</v>
      </c>
      <c r="BJ65" s="32">
        <v>3635</v>
      </c>
      <c r="BK65" s="32">
        <v>3567</v>
      </c>
      <c r="BL65" s="32">
        <v>3917</v>
      </c>
      <c r="BM65" s="32">
        <v>1065</v>
      </c>
      <c r="BN65" s="32">
        <v>950</v>
      </c>
      <c r="BO65" s="32">
        <v>887</v>
      </c>
      <c r="BP65" s="32">
        <v>1635</v>
      </c>
      <c r="BQ65" s="32">
        <v>1871</v>
      </c>
      <c r="BR65" s="32">
        <v>1162</v>
      </c>
      <c r="BS65" s="32">
        <v>1850</v>
      </c>
      <c r="BT65" s="32">
        <v>1841</v>
      </c>
      <c r="BU65" s="32">
        <v>1810</v>
      </c>
      <c r="BV65" s="32">
        <v>1801</v>
      </c>
      <c r="BW65" s="32">
        <v>1799</v>
      </c>
      <c r="BX65" s="32">
        <v>1798</v>
      </c>
      <c r="BY65" s="32">
        <v>1779</v>
      </c>
      <c r="BZ65" s="32">
        <v>1718</v>
      </c>
      <c r="CA65" s="32">
        <v>1710</v>
      </c>
      <c r="CB65" s="32">
        <v>1703</v>
      </c>
      <c r="CC65" s="32">
        <v>1703</v>
      </c>
      <c r="CD65" s="32">
        <v>1703</v>
      </c>
      <c r="CE65" s="32">
        <v>1703</v>
      </c>
      <c r="CF65" s="32">
        <v>1703</v>
      </c>
      <c r="CH65" s="94">
        <f t="shared" ca="1" si="138"/>
        <v>6779</v>
      </c>
      <c r="CI65" s="94">
        <f t="shared" ca="1" si="138"/>
        <v>5595</v>
      </c>
      <c r="CJ65" s="94">
        <f t="shared" ca="1" si="138"/>
        <v>6548</v>
      </c>
      <c r="CK65" s="94">
        <f t="shared" ca="1" si="138"/>
        <v>19863</v>
      </c>
      <c r="CL65" s="94">
        <f t="shared" ca="1" si="138"/>
        <v>5535</v>
      </c>
      <c r="CM65" s="94">
        <f t="shared" ca="1" si="138"/>
        <v>5728</v>
      </c>
      <c r="CN65" s="94">
        <f t="shared" ca="1" si="138"/>
        <v>8892</v>
      </c>
      <c r="CO65" s="94">
        <f t="shared" ca="1" si="138"/>
        <v>6850</v>
      </c>
      <c r="CP65" s="94">
        <f t="shared" ca="1" si="138"/>
        <v>6642</v>
      </c>
      <c r="CQ65" s="94">
        <f t="shared" ca="1" si="138"/>
        <v>11759</v>
      </c>
      <c r="CR65" s="94">
        <f t="shared" ca="1" si="139"/>
        <v>16363</v>
      </c>
      <c r="CS65" s="94">
        <f t="shared" ca="1" si="139"/>
        <v>20909</v>
      </c>
      <c r="CT65" s="94">
        <f t="shared" ca="1" si="139"/>
        <v>29243</v>
      </c>
      <c r="CU65" s="94">
        <f t="shared" ca="1" si="139"/>
        <v>30297</v>
      </c>
      <c r="CV65" s="94">
        <f t="shared" ca="1" si="139"/>
        <v>32405</v>
      </c>
      <c r="CW65" s="94">
        <f t="shared" ca="1" si="139"/>
        <v>37708</v>
      </c>
      <c r="CX65" s="94">
        <f t="shared" ca="1" si="139"/>
        <v>38452</v>
      </c>
      <c r="CY65" s="94">
        <f t="shared" ca="1" si="139"/>
        <v>10627</v>
      </c>
      <c r="CZ65" s="94">
        <f t="shared" ca="1" si="139"/>
        <v>10551</v>
      </c>
      <c r="DA65" s="94">
        <f t="shared" ca="1" si="139"/>
        <v>10519</v>
      </c>
      <c r="DB65" s="94">
        <f t="shared" ca="1" si="140"/>
        <v>10982</v>
      </c>
      <c r="DC65" s="94">
        <f t="shared" ca="1" si="140"/>
        <v>10257</v>
      </c>
      <c r="DD65" s="94">
        <f t="shared" ca="1" si="140"/>
        <v>10320</v>
      </c>
      <c r="DE65" s="94">
        <f t="shared" ca="1" si="140"/>
        <v>11225</v>
      </c>
      <c r="DF65" s="94">
        <f t="shared" ca="1" si="140"/>
        <v>10942</v>
      </c>
      <c r="DG65" s="94">
        <f t="shared" ca="1" si="140"/>
        <v>10942</v>
      </c>
      <c r="DH65" s="94">
        <f t="shared" ca="1" si="140"/>
        <v>10942</v>
      </c>
      <c r="DI65" s="94">
        <f t="shared" ca="1" si="140"/>
        <v>12829</v>
      </c>
      <c r="DJ65" s="94">
        <f t="shared" ca="1" si="140"/>
        <v>12779</v>
      </c>
      <c r="DK65" s="94">
        <f t="shared" ca="1" si="140"/>
        <v>12784</v>
      </c>
      <c r="DL65" s="94">
        <f t="shared" ca="1" si="141"/>
        <v>12923</v>
      </c>
      <c r="DM65" s="94">
        <f t="shared" ca="1" si="141"/>
        <v>15380</v>
      </c>
      <c r="DN65" s="94">
        <f t="shared" ca="1" si="141"/>
        <v>4231</v>
      </c>
      <c r="DO65" s="94">
        <f t="shared" ca="1" si="141"/>
        <v>4179</v>
      </c>
      <c r="DP65" s="94">
        <f t="shared" ca="1" si="141"/>
        <v>3501</v>
      </c>
      <c r="DQ65" s="94">
        <f t="shared" ca="1" si="141"/>
        <v>4426</v>
      </c>
      <c r="DR65" s="94">
        <f t="shared" ca="1" si="141"/>
        <v>3596</v>
      </c>
      <c r="DS65" s="94">
        <f t="shared" ca="1" si="141"/>
        <v>3464</v>
      </c>
      <c r="DT65" s="94">
        <f t="shared" ca="1" si="141"/>
        <v>3601</v>
      </c>
      <c r="DU65" s="94">
        <f t="shared" ca="1" si="141"/>
        <v>3635</v>
      </c>
      <c r="DV65" s="94">
        <f t="shared" ca="1" si="142"/>
        <v>3567</v>
      </c>
      <c r="DW65" s="94">
        <f t="shared" ca="1" si="142"/>
        <v>3917</v>
      </c>
      <c r="DX65" s="94">
        <f t="shared" ca="1" si="142"/>
        <v>950</v>
      </c>
      <c r="DY65" s="94">
        <f t="shared" ca="1" si="142"/>
        <v>887</v>
      </c>
      <c r="DZ65" s="94">
        <f t="shared" ca="1" si="142"/>
        <v>1635</v>
      </c>
      <c r="EA65" s="94">
        <f t="shared" ca="1" si="142"/>
        <v>1162</v>
      </c>
      <c r="EB65" s="94">
        <f t="shared" ca="1" si="142"/>
        <v>1850</v>
      </c>
      <c r="EC65" s="94">
        <f t="shared" ca="1" si="142"/>
        <v>1841</v>
      </c>
      <c r="ED65" s="94">
        <f t="shared" ca="1" si="142"/>
        <v>1801</v>
      </c>
      <c r="EE65" s="94">
        <f t="shared" ca="1" si="142"/>
        <v>1799</v>
      </c>
      <c r="EF65" s="94">
        <f t="shared" ca="1" si="143"/>
        <v>1798</v>
      </c>
      <c r="EG65" s="94">
        <f t="shared" ca="1" si="143"/>
        <v>1718</v>
      </c>
      <c r="EH65" s="94">
        <f t="shared" ca="1" si="143"/>
        <v>1710</v>
      </c>
      <c r="EI65" s="94">
        <f t="shared" ca="1" si="143"/>
        <v>1703</v>
      </c>
      <c r="EJ65" s="94">
        <f t="shared" ca="1" si="143"/>
        <v>1703</v>
      </c>
      <c r="EK65" s="94">
        <f t="shared" ca="1" si="143"/>
        <v>1703</v>
      </c>
      <c r="EL65" s="94">
        <f t="shared" ca="1" si="143"/>
        <v>1703</v>
      </c>
    </row>
    <row r="66" spans="2:142" ht="14.4" thickBot="1" x14ac:dyDescent="0.35">
      <c r="B66" s="112" t="s">
        <v>583</v>
      </c>
      <c r="C66" s="112" t="s">
        <v>412</v>
      </c>
      <c r="D66" s="184" t="str">
        <f>IF(Menu!$D$12="PT",'Dados Financeiros'!B66,'Dados Financeiros'!C66)</f>
        <v>Outras contas a pagar - LP</v>
      </c>
      <c r="E66" s="36">
        <f>2301+520+1364</f>
        <v>4185</v>
      </c>
      <c r="F66" s="36">
        <f>1293+831</f>
        <v>2124</v>
      </c>
      <c r="G66" s="36">
        <f>1320+1011</f>
        <v>2331</v>
      </c>
      <c r="H66" s="36">
        <f>3454+874</f>
        <v>4328</v>
      </c>
      <c r="I66" s="36">
        <f>1774+606</f>
        <v>2380</v>
      </c>
      <c r="J66" s="36">
        <v>7227</v>
      </c>
      <c r="K66" s="36">
        <f>4196+502</f>
        <v>4698</v>
      </c>
      <c r="L66" s="36">
        <v>6009</v>
      </c>
      <c r="M66" s="36">
        <v>2543</v>
      </c>
      <c r="N66" s="36">
        <v>512</v>
      </c>
      <c r="O66" s="36">
        <v>795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1208</v>
      </c>
      <c r="Z66" s="36">
        <v>503</v>
      </c>
      <c r="AA66" s="36">
        <v>1252</v>
      </c>
      <c r="AB66" s="36">
        <v>516</v>
      </c>
      <c r="AC66" s="36">
        <v>2980</v>
      </c>
      <c r="AD66" s="54">
        <v>2277</v>
      </c>
      <c r="AE66" s="36">
        <v>2863</v>
      </c>
      <c r="AF66" s="36">
        <v>2197</v>
      </c>
      <c r="AG66" s="36">
        <v>2398</v>
      </c>
      <c r="AH66" s="36">
        <v>2832</v>
      </c>
      <c r="AI66" s="36">
        <v>1564</v>
      </c>
      <c r="AJ66" s="36">
        <v>1688</v>
      </c>
      <c r="AK66" s="36">
        <v>2560</v>
      </c>
      <c r="AL66" s="36">
        <v>3177</v>
      </c>
      <c r="AM66" s="36">
        <v>2108</v>
      </c>
      <c r="AN66" s="36">
        <v>1490</v>
      </c>
      <c r="AO66" s="36">
        <v>1997</v>
      </c>
      <c r="AP66" s="36">
        <v>3892</v>
      </c>
      <c r="AQ66" s="36">
        <v>6727</v>
      </c>
      <c r="AR66" s="36">
        <v>25385</v>
      </c>
      <c r="AS66" s="36">
        <v>29526</v>
      </c>
      <c r="AT66" s="36">
        <v>25274</v>
      </c>
      <c r="AU66" s="36">
        <v>20978</v>
      </c>
      <c r="AV66" s="36">
        <v>43187</v>
      </c>
      <c r="AW66" s="36">
        <v>12368</v>
      </c>
      <c r="AX66" s="36">
        <v>21465</v>
      </c>
      <c r="AY66" s="36">
        <v>22281</v>
      </c>
      <c r="AZ66" s="36">
        <v>31837</v>
      </c>
      <c r="BA66" s="36">
        <v>33573</v>
      </c>
      <c r="BB66" s="36">
        <v>27583</v>
      </c>
      <c r="BC66" s="36">
        <v>26226</v>
      </c>
      <c r="BD66" s="36">
        <v>30002</v>
      </c>
      <c r="BE66" s="36">
        <v>32039</v>
      </c>
      <c r="BF66" s="36">
        <v>28943</v>
      </c>
      <c r="BG66" s="36">
        <v>24409</v>
      </c>
      <c r="BH66" s="36">
        <v>24200</v>
      </c>
      <c r="BI66" s="36">
        <v>21628</v>
      </c>
      <c r="BJ66" s="36">
        <v>29916</v>
      </c>
      <c r="BK66" s="36">
        <v>27142</v>
      </c>
      <c r="BL66" s="36">
        <v>25728</v>
      </c>
      <c r="BM66" s="36">
        <v>17461</v>
      </c>
      <c r="BN66" s="36">
        <v>15037</v>
      </c>
      <c r="BO66" s="36">
        <v>12244</v>
      </c>
      <c r="BP66" s="36">
        <v>13226</v>
      </c>
      <c r="BQ66" s="36">
        <v>12382</v>
      </c>
      <c r="BR66" s="36">
        <v>13230</v>
      </c>
      <c r="BS66" s="36">
        <v>12084</v>
      </c>
      <c r="BT66" s="36">
        <v>12886</v>
      </c>
      <c r="BU66" s="36">
        <v>13860</v>
      </c>
      <c r="BV66" s="36">
        <v>13492</v>
      </c>
      <c r="BW66" s="36">
        <v>13509</v>
      </c>
      <c r="BX66" s="32">
        <v>12856</v>
      </c>
      <c r="BY66" s="32">
        <v>12105</v>
      </c>
      <c r="BZ66" s="32">
        <v>11143</v>
      </c>
      <c r="CA66" s="32">
        <v>10928</v>
      </c>
      <c r="CB66" s="32">
        <v>12111</v>
      </c>
      <c r="CC66" s="32">
        <v>11250</v>
      </c>
      <c r="CD66" s="32">
        <v>8997</v>
      </c>
      <c r="CE66" s="32">
        <v>9682</v>
      </c>
      <c r="CF66" s="32">
        <v>9853</v>
      </c>
      <c r="CH66" s="94">
        <f t="shared" ca="1" si="138"/>
        <v>2124</v>
      </c>
      <c r="CI66" s="94">
        <f t="shared" ca="1" si="138"/>
        <v>2331</v>
      </c>
      <c r="CJ66" s="94">
        <f t="shared" ca="1" si="138"/>
        <v>4328</v>
      </c>
      <c r="CK66" s="94">
        <f t="shared" ca="1" si="138"/>
        <v>7227</v>
      </c>
      <c r="CL66" s="94">
        <f t="shared" ca="1" si="138"/>
        <v>4698</v>
      </c>
      <c r="CM66" s="94">
        <f t="shared" ca="1" si="138"/>
        <v>6009</v>
      </c>
      <c r="CN66" s="94">
        <f t="shared" ca="1" si="138"/>
        <v>512</v>
      </c>
      <c r="CO66" s="94">
        <f t="shared" ca="1" si="138"/>
        <v>795</v>
      </c>
      <c r="CP66" s="94">
        <f t="shared" ca="1" si="138"/>
        <v>0</v>
      </c>
      <c r="CQ66" s="94">
        <f t="shared" ca="1" si="138"/>
        <v>0</v>
      </c>
      <c r="CR66" s="94">
        <f t="shared" ca="1" si="139"/>
        <v>0</v>
      </c>
      <c r="CS66" s="94">
        <f t="shared" ca="1" si="139"/>
        <v>0</v>
      </c>
      <c r="CT66" s="94">
        <f t="shared" ca="1" si="139"/>
        <v>0</v>
      </c>
      <c r="CU66" s="94">
        <f t="shared" ca="1" si="139"/>
        <v>0</v>
      </c>
      <c r="CV66" s="94">
        <f t="shared" ca="1" si="139"/>
        <v>0</v>
      </c>
      <c r="CW66" s="94">
        <f t="shared" ca="1" si="139"/>
        <v>516</v>
      </c>
      <c r="CX66" s="94">
        <f t="shared" ca="1" si="139"/>
        <v>2277</v>
      </c>
      <c r="CY66" s="94">
        <f t="shared" ca="1" si="139"/>
        <v>2197</v>
      </c>
      <c r="CZ66" s="94">
        <f t="shared" ca="1" si="139"/>
        <v>2832</v>
      </c>
      <c r="DA66" s="94">
        <f t="shared" ca="1" si="139"/>
        <v>1564</v>
      </c>
      <c r="DB66" s="94">
        <f t="shared" ca="1" si="140"/>
        <v>1688</v>
      </c>
      <c r="DC66" s="94">
        <f t="shared" ca="1" si="140"/>
        <v>3177</v>
      </c>
      <c r="DD66" s="94">
        <f t="shared" ca="1" si="140"/>
        <v>2108</v>
      </c>
      <c r="DE66" s="94">
        <f t="shared" ca="1" si="140"/>
        <v>1490</v>
      </c>
      <c r="DF66" s="94">
        <f t="shared" ca="1" si="140"/>
        <v>3892</v>
      </c>
      <c r="DG66" s="94">
        <f t="shared" ca="1" si="140"/>
        <v>6727</v>
      </c>
      <c r="DH66" s="94">
        <f t="shared" ca="1" si="140"/>
        <v>25385</v>
      </c>
      <c r="DI66" s="94">
        <f t="shared" ca="1" si="140"/>
        <v>25274</v>
      </c>
      <c r="DJ66" s="94">
        <f t="shared" ca="1" si="140"/>
        <v>20978</v>
      </c>
      <c r="DK66" s="94">
        <f t="shared" ca="1" si="140"/>
        <v>43187</v>
      </c>
      <c r="DL66" s="94">
        <f t="shared" ca="1" si="141"/>
        <v>21465</v>
      </c>
      <c r="DM66" s="94">
        <f t="shared" ca="1" si="141"/>
        <v>22281</v>
      </c>
      <c r="DN66" s="94">
        <f t="shared" ca="1" si="141"/>
        <v>31837</v>
      </c>
      <c r="DO66" s="94">
        <f t="shared" ca="1" si="141"/>
        <v>27583</v>
      </c>
      <c r="DP66" s="94">
        <f t="shared" ca="1" si="141"/>
        <v>26226</v>
      </c>
      <c r="DQ66" s="94">
        <f t="shared" ca="1" si="141"/>
        <v>30002</v>
      </c>
      <c r="DR66" s="94">
        <f t="shared" ca="1" si="141"/>
        <v>28943</v>
      </c>
      <c r="DS66" s="94">
        <f t="shared" ca="1" si="141"/>
        <v>24409</v>
      </c>
      <c r="DT66" s="94">
        <f t="shared" ca="1" si="141"/>
        <v>24200</v>
      </c>
      <c r="DU66" s="94">
        <f t="shared" ca="1" si="141"/>
        <v>29916</v>
      </c>
      <c r="DV66" s="94">
        <f t="shared" ca="1" si="142"/>
        <v>27142</v>
      </c>
      <c r="DW66" s="94">
        <f t="shared" ca="1" si="142"/>
        <v>25728</v>
      </c>
      <c r="DX66" s="94">
        <f t="shared" ca="1" si="142"/>
        <v>15037</v>
      </c>
      <c r="DY66" s="94">
        <f t="shared" ca="1" si="142"/>
        <v>12244</v>
      </c>
      <c r="DZ66" s="94">
        <f t="shared" ca="1" si="142"/>
        <v>13226</v>
      </c>
      <c r="EA66" s="94">
        <f t="shared" ca="1" si="142"/>
        <v>13230</v>
      </c>
      <c r="EB66" s="94">
        <f t="shared" ca="1" si="142"/>
        <v>12084</v>
      </c>
      <c r="EC66" s="94">
        <f t="shared" ca="1" si="142"/>
        <v>12886</v>
      </c>
      <c r="ED66" s="94">
        <f t="shared" ca="1" si="142"/>
        <v>13492</v>
      </c>
      <c r="EE66" s="94">
        <f t="shared" ca="1" si="142"/>
        <v>13509</v>
      </c>
      <c r="EF66" s="94">
        <f t="shared" ca="1" si="143"/>
        <v>12856</v>
      </c>
      <c r="EG66" s="94">
        <f t="shared" ca="1" si="143"/>
        <v>11143</v>
      </c>
      <c r="EH66" s="94">
        <f t="shared" ca="1" si="143"/>
        <v>10928</v>
      </c>
      <c r="EI66" s="94">
        <f t="shared" ca="1" si="143"/>
        <v>12111</v>
      </c>
      <c r="EJ66" s="94">
        <f t="shared" ca="1" si="143"/>
        <v>8997</v>
      </c>
      <c r="EK66" s="94">
        <f t="shared" ca="1" si="143"/>
        <v>9682</v>
      </c>
      <c r="EL66" s="94">
        <f t="shared" ca="1" si="143"/>
        <v>9853</v>
      </c>
    </row>
    <row r="67" spans="2:142" ht="14.4" thickBot="1" x14ac:dyDescent="0.35">
      <c r="B67" s="12"/>
      <c r="C67" s="113"/>
      <c r="D67" s="186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  <c r="EL67" s="15"/>
    </row>
    <row r="68" spans="2:142" ht="14.4" thickBot="1" x14ac:dyDescent="0.35">
      <c r="B68" s="53" t="s">
        <v>70</v>
      </c>
      <c r="C68" s="53" t="s">
        <v>415</v>
      </c>
      <c r="D68" s="188" t="str">
        <f>IF(Menu!$D$12="PT",'Dados Financeiros'!B68,'Dados Financeiros'!C68)</f>
        <v>Acionistas não controladores</v>
      </c>
      <c r="E68" s="52">
        <v>7776</v>
      </c>
      <c r="F68" s="52">
        <v>10830</v>
      </c>
      <c r="G68" s="52">
        <v>14167</v>
      </c>
      <c r="H68" s="52">
        <v>18822</v>
      </c>
      <c r="I68" s="52">
        <v>50675</v>
      </c>
      <c r="J68" s="52">
        <v>59583</v>
      </c>
      <c r="K68" s="52">
        <v>61694</v>
      </c>
      <c r="L68" s="52">
        <v>67554</v>
      </c>
      <c r="M68" s="52">
        <v>69354</v>
      </c>
      <c r="N68" s="52">
        <v>79576</v>
      </c>
      <c r="O68" s="52">
        <v>88983</v>
      </c>
      <c r="P68" s="52">
        <v>102636</v>
      </c>
      <c r="Q68" s="52">
        <v>110380</v>
      </c>
      <c r="R68" s="52">
        <v>118098</v>
      </c>
      <c r="S68" s="52">
        <v>122784</v>
      </c>
      <c r="T68" s="52">
        <v>157783</v>
      </c>
      <c r="U68" s="52">
        <v>167404</v>
      </c>
      <c r="V68" s="52">
        <v>102854</v>
      </c>
      <c r="W68" s="52">
        <v>109675</v>
      </c>
      <c r="X68" s="52">
        <v>127084</v>
      </c>
      <c r="Y68" s="52">
        <v>132002</v>
      </c>
      <c r="Z68" s="52">
        <v>136439</v>
      </c>
      <c r="AA68" s="52">
        <v>116477</v>
      </c>
      <c r="AB68" s="52">
        <v>121612</v>
      </c>
      <c r="AC68" s="52">
        <v>123718</v>
      </c>
      <c r="AD68" s="52">
        <v>129932</v>
      </c>
      <c r="AE68" s="52">
        <v>120005</v>
      </c>
      <c r="AF68" s="52">
        <v>125877</v>
      </c>
      <c r="AG68" s="52">
        <v>168709</v>
      </c>
      <c r="AH68" s="52">
        <v>187658</v>
      </c>
      <c r="AI68" s="52">
        <v>194642</v>
      </c>
      <c r="AJ68" s="52">
        <v>166617</v>
      </c>
      <c r="AK68" s="52">
        <v>175587</v>
      </c>
      <c r="AL68" s="52">
        <v>191670</v>
      </c>
      <c r="AM68" s="52">
        <v>201824</v>
      </c>
      <c r="AN68" s="52">
        <v>214058</v>
      </c>
      <c r="AO68" s="52">
        <v>235424</v>
      </c>
      <c r="AP68" s="52">
        <v>164069</v>
      </c>
      <c r="AQ68" s="52">
        <v>165307</v>
      </c>
      <c r="AR68" s="52">
        <v>34864</v>
      </c>
      <c r="AS68" s="52">
        <v>42462</v>
      </c>
      <c r="AT68" s="52">
        <v>38285</v>
      </c>
      <c r="AU68" s="52">
        <v>29353</v>
      </c>
      <c r="AV68" s="52">
        <v>27109</v>
      </c>
      <c r="AW68" s="52">
        <v>26323</v>
      </c>
      <c r="AX68" s="52">
        <v>22428</v>
      </c>
      <c r="AY68" s="52">
        <v>19985</v>
      </c>
      <c r="AZ68" s="52">
        <v>16533</v>
      </c>
      <c r="BA68" s="52">
        <v>14901</v>
      </c>
      <c r="BB68" s="52">
        <v>14075</v>
      </c>
      <c r="BC68" s="52">
        <v>12506</v>
      </c>
      <c r="BD68" s="52">
        <v>10499</v>
      </c>
      <c r="BE68" s="52">
        <v>10970</v>
      </c>
      <c r="BF68" s="52">
        <v>10391</v>
      </c>
      <c r="BG68" s="52">
        <v>7742</v>
      </c>
      <c r="BH68" s="52">
        <v>6090</v>
      </c>
      <c r="BI68" s="52">
        <v>5551</v>
      </c>
      <c r="BJ68" s="52">
        <v>5068</v>
      </c>
      <c r="BK68" s="52">
        <v>4828</v>
      </c>
      <c r="BL68" s="52">
        <v>15559</v>
      </c>
      <c r="BM68" s="52">
        <v>34789</v>
      </c>
      <c r="BN68" s="52">
        <v>33792</v>
      </c>
      <c r="BO68" s="52">
        <v>28528</v>
      </c>
      <c r="BP68" s="52">
        <v>70985</v>
      </c>
      <c r="BQ68" s="52">
        <v>89662</v>
      </c>
      <c r="BR68" s="52">
        <v>89434</v>
      </c>
      <c r="BS68" s="52">
        <v>89611</v>
      </c>
      <c r="BT68" s="52">
        <v>32084</v>
      </c>
      <c r="BU68" s="52">
        <v>32355</v>
      </c>
      <c r="BV68" s="52">
        <v>32538</v>
      </c>
      <c r="BW68" s="52">
        <v>-5862</v>
      </c>
      <c r="BX68" s="52">
        <v>989</v>
      </c>
      <c r="BY68" s="52">
        <v>-232</v>
      </c>
      <c r="BZ68" s="52">
        <v>-1888</v>
      </c>
      <c r="CA68" s="52">
        <v>-1948</v>
      </c>
      <c r="CB68" s="52">
        <v>3483</v>
      </c>
      <c r="CC68" s="52">
        <v>4614</v>
      </c>
      <c r="CD68" s="52">
        <v>4576</v>
      </c>
      <c r="CE68" s="52">
        <v>6663</v>
      </c>
      <c r="CF68" s="52">
        <v>6180</v>
      </c>
      <c r="CH68" s="52">
        <f t="shared" ref="CH68:DM68" ca="1" si="144">INDIRECT(ADDRESS(ROW(),MATCH(IF(LEFT(CH$2,2)="1S","2T",IF(LEFT(CH$2,2)="9M","3T","4T"))&amp;RIGHT(CH$2,2),$A$2:$CG$2,0)))</f>
        <v>10830</v>
      </c>
      <c r="CI68" s="52">
        <f t="shared" ca="1" si="144"/>
        <v>14167</v>
      </c>
      <c r="CJ68" s="52">
        <f t="shared" ca="1" si="144"/>
        <v>18822</v>
      </c>
      <c r="CK68" s="52">
        <f t="shared" ca="1" si="144"/>
        <v>59583</v>
      </c>
      <c r="CL68" s="52">
        <f t="shared" ca="1" si="144"/>
        <v>61694</v>
      </c>
      <c r="CM68" s="52">
        <f t="shared" ca="1" si="144"/>
        <v>67554</v>
      </c>
      <c r="CN68" s="52">
        <f t="shared" ca="1" si="144"/>
        <v>79576</v>
      </c>
      <c r="CO68" s="52">
        <f t="shared" ca="1" si="144"/>
        <v>88983</v>
      </c>
      <c r="CP68" s="52">
        <f t="shared" ca="1" si="144"/>
        <v>102636</v>
      </c>
      <c r="CQ68" s="52">
        <f t="shared" ca="1" si="144"/>
        <v>118098</v>
      </c>
      <c r="CR68" s="52">
        <f t="shared" ca="1" si="144"/>
        <v>122784</v>
      </c>
      <c r="CS68" s="52">
        <f t="shared" ca="1" si="144"/>
        <v>157783</v>
      </c>
      <c r="CT68" s="52">
        <f t="shared" ca="1" si="144"/>
        <v>102854</v>
      </c>
      <c r="CU68" s="52">
        <f t="shared" ca="1" si="144"/>
        <v>109675</v>
      </c>
      <c r="CV68" s="52">
        <f t="shared" ca="1" si="144"/>
        <v>127084</v>
      </c>
      <c r="CW68" s="52">
        <f t="shared" ca="1" si="144"/>
        <v>121612</v>
      </c>
      <c r="CX68" s="52">
        <f t="shared" ca="1" si="144"/>
        <v>129932</v>
      </c>
      <c r="CY68" s="52">
        <f t="shared" ca="1" si="144"/>
        <v>125877</v>
      </c>
      <c r="CZ68" s="52">
        <f t="shared" ca="1" si="144"/>
        <v>187658</v>
      </c>
      <c r="DA68" s="52">
        <f t="shared" ca="1" si="144"/>
        <v>194642</v>
      </c>
      <c r="DB68" s="52">
        <f t="shared" ca="1" si="144"/>
        <v>166617</v>
      </c>
      <c r="DC68" s="52">
        <f t="shared" ca="1" si="144"/>
        <v>191670</v>
      </c>
      <c r="DD68" s="52">
        <f t="shared" ca="1" si="144"/>
        <v>201824</v>
      </c>
      <c r="DE68" s="52">
        <f t="shared" ca="1" si="144"/>
        <v>214058</v>
      </c>
      <c r="DF68" s="52">
        <f t="shared" ca="1" si="144"/>
        <v>164069</v>
      </c>
      <c r="DG68" s="52">
        <f t="shared" ca="1" si="144"/>
        <v>165307</v>
      </c>
      <c r="DH68" s="52">
        <f t="shared" ca="1" si="144"/>
        <v>34864</v>
      </c>
      <c r="DI68" s="52">
        <f t="shared" ca="1" si="144"/>
        <v>38285</v>
      </c>
      <c r="DJ68" s="52">
        <f t="shared" ca="1" si="144"/>
        <v>29353</v>
      </c>
      <c r="DK68" s="52">
        <f t="shared" ca="1" si="144"/>
        <v>27109</v>
      </c>
      <c r="DL68" s="52">
        <f t="shared" ca="1" si="144"/>
        <v>22428</v>
      </c>
      <c r="DM68" s="52">
        <f t="shared" ca="1" si="144"/>
        <v>19985</v>
      </c>
      <c r="DN68" s="52">
        <f t="shared" ref="DN68:EL68" ca="1" si="145">INDIRECT(ADDRESS(ROW(),MATCH(IF(LEFT(DN$2,2)="1S","2T",IF(LEFT(DN$2,2)="9M","3T","4T"))&amp;RIGHT(DN$2,2),$A$2:$CG$2,0)))</f>
        <v>16533</v>
      </c>
      <c r="DO68" s="52">
        <f t="shared" ca="1" si="145"/>
        <v>14075</v>
      </c>
      <c r="DP68" s="52">
        <f t="shared" ca="1" si="145"/>
        <v>12506</v>
      </c>
      <c r="DQ68" s="52">
        <f t="shared" ca="1" si="145"/>
        <v>10499</v>
      </c>
      <c r="DR68" s="52">
        <f t="shared" ca="1" si="145"/>
        <v>10391</v>
      </c>
      <c r="DS68" s="52">
        <f t="shared" ca="1" si="145"/>
        <v>7742</v>
      </c>
      <c r="DT68" s="52">
        <f t="shared" ca="1" si="145"/>
        <v>6090</v>
      </c>
      <c r="DU68" s="52">
        <f t="shared" ca="1" si="145"/>
        <v>5068</v>
      </c>
      <c r="DV68" s="52">
        <f t="shared" ca="1" si="145"/>
        <v>4828</v>
      </c>
      <c r="DW68" s="52">
        <f t="shared" ca="1" si="145"/>
        <v>15559</v>
      </c>
      <c r="DX68" s="52">
        <f t="shared" ca="1" si="145"/>
        <v>33792</v>
      </c>
      <c r="DY68" s="52">
        <f t="shared" ca="1" si="145"/>
        <v>28528</v>
      </c>
      <c r="DZ68" s="52">
        <f t="shared" ca="1" si="145"/>
        <v>70985</v>
      </c>
      <c r="EA68" s="52">
        <f t="shared" ca="1" si="145"/>
        <v>89434</v>
      </c>
      <c r="EB68" s="52">
        <f t="shared" ca="1" si="145"/>
        <v>89611</v>
      </c>
      <c r="EC68" s="52">
        <f t="shared" ca="1" si="145"/>
        <v>32084</v>
      </c>
      <c r="ED68" s="52">
        <f t="shared" ca="1" si="145"/>
        <v>32538</v>
      </c>
      <c r="EE68" s="52">
        <f t="shared" ca="1" si="145"/>
        <v>-5862</v>
      </c>
      <c r="EF68" s="52">
        <f t="shared" ca="1" si="145"/>
        <v>989</v>
      </c>
      <c r="EG68" s="52">
        <f t="shared" ca="1" si="145"/>
        <v>-1888</v>
      </c>
      <c r="EH68" s="52">
        <f t="shared" ca="1" si="145"/>
        <v>-1948</v>
      </c>
      <c r="EI68" s="52">
        <f t="shared" ca="1" si="145"/>
        <v>3483</v>
      </c>
      <c r="EJ68" s="52">
        <f t="shared" ca="1" si="145"/>
        <v>4576</v>
      </c>
      <c r="EK68" s="52">
        <f t="shared" ca="1" si="145"/>
        <v>6663</v>
      </c>
      <c r="EL68" s="52">
        <f t="shared" ca="1" si="145"/>
        <v>6180</v>
      </c>
    </row>
    <row r="69" spans="2:142" x14ac:dyDescent="0.3">
      <c r="B69" s="12"/>
      <c r="C69" s="113"/>
      <c r="D69" s="186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</row>
    <row r="70" spans="2:142" ht="14.4" thickBot="1" x14ac:dyDescent="0.35">
      <c r="B70" s="40" t="s">
        <v>69</v>
      </c>
      <c r="C70" s="40" t="s">
        <v>416</v>
      </c>
      <c r="D70" s="181" t="str">
        <f>IF(Menu!$D$12="PT",'Dados Financeiros'!B70,'Dados Financeiros'!C70)</f>
        <v>Patrimônio líquido</v>
      </c>
      <c r="E70" s="20">
        <f t="shared" ref="E70:AP70" si="146">SUM(E71:E76)</f>
        <v>713982</v>
      </c>
      <c r="F70" s="20">
        <f t="shared" si="146"/>
        <v>734619</v>
      </c>
      <c r="G70" s="20">
        <f t="shared" si="146"/>
        <v>751810</v>
      </c>
      <c r="H70" s="20">
        <f t="shared" si="146"/>
        <v>760641</v>
      </c>
      <c r="I70" s="20">
        <f t="shared" si="146"/>
        <v>766455</v>
      </c>
      <c r="J70" s="20">
        <f t="shared" si="146"/>
        <v>787959</v>
      </c>
      <c r="K70" s="20">
        <f t="shared" si="146"/>
        <v>803153</v>
      </c>
      <c r="L70" s="20">
        <f t="shared" si="146"/>
        <v>794827</v>
      </c>
      <c r="M70" s="20">
        <f t="shared" si="146"/>
        <v>816797</v>
      </c>
      <c r="N70" s="20">
        <f t="shared" si="146"/>
        <v>847386</v>
      </c>
      <c r="O70" s="20">
        <f t="shared" si="146"/>
        <v>879464</v>
      </c>
      <c r="P70" s="20">
        <f t="shared" si="146"/>
        <v>880475</v>
      </c>
      <c r="Q70" s="20">
        <f t="shared" si="146"/>
        <v>920843</v>
      </c>
      <c r="R70" s="20">
        <f t="shared" si="146"/>
        <v>962245</v>
      </c>
      <c r="S70" s="20">
        <f t="shared" si="146"/>
        <v>1016282</v>
      </c>
      <c r="T70" s="20">
        <f t="shared" si="146"/>
        <v>1037601</v>
      </c>
      <c r="U70" s="20">
        <f t="shared" si="146"/>
        <v>1479955</v>
      </c>
      <c r="V70" s="20">
        <f t="shared" si="146"/>
        <v>1547138</v>
      </c>
      <c r="W70" s="20">
        <f t="shared" si="146"/>
        <v>1595834</v>
      </c>
      <c r="X70" s="20">
        <f t="shared" si="146"/>
        <v>1505230</v>
      </c>
      <c r="Y70" s="20">
        <f t="shared" si="146"/>
        <v>1491022</v>
      </c>
      <c r="Z70" s="20">
        <f t="shared" si="146"/>
        <v>1491022</v>
      </c>
      <c r="AA70" s="20">
        <f t="shared" si="146"/>
        <v>1473898</v>
      </c>
      <c r="AB70" s="20">
        <f t="shared" si="146"/>
        <v>1473898</v>
      </c>
      <c r="AC70" s="20">
        <f t="shared" si="146"/>
        <v>1418271</v>
      </c>
      <c r="AD70" s="20">
        <f t="shared" si="146"/>
        <v>1418271</v>
      </c>
      <c r="AE70" s="20">
        <f t="shared" si="146"/>
        <v>1313293</v>
      </c>
      <c r="AF70" s="20">
        <f t="shared" si="146"/>
        <v>1313293</v>
      </c>
      <c r="AG70" s="20">
        <f t="shared" si="146"/>
        <v>1357761</v>
      </c>
      <c r="AH70" s="20">
        <f t="shared" si="146"/>
        <v>1433406</v>
      </c>
      <c r="AI70" s="20">
        <f t="shared" si="146"/>
        <v>1487733</v>
      </c>
      <c r="AJ70" s="20">
        <f t="shared" si="146"/>
        <v>1412430</v>
      </c>
      <c r="AK70" s="20">
        <f t="shared" si="146"/>
        <v>1405090</v>
      </c>
      <c r="AL70" s="20">
        <f t="shared" si="146"/>
        <v>1485282</v>
      </c>
      <c r="AM70" s="20">
        <f t="shared" si="146"/>
        <v>1519560</v>
      </c>
      <c r="AN70" s="20">
        <f t="shared" si="146"/>
        <v>1486260</v>
      </c>
      <c r="AO70" s="20">
        <f t="shared" si="146"/>
        <v>1520587</v>
      </c>
      <c r="AP70" s="20">
        <f t="shared" si="146"/>
        <v>1557638</v>
      </c>
      <c r="AQ70" s="20">
        <v>1567089</v>
      </c>
      <c r="AR70" s="20">
        <v>1677149</v>
      </c>
      <c r="AS70" s="20">
        <v>1674464</v>
      </c>
      <c r="AT70" s="20">
        <v>1582658</v>
      </c>
      <c r="AU70" s="20">
        <v>1669702</v>
      </c>
      <c r="AV70" s="20">
        <f t="shared" ref="AV70:BC70" si="147">SUM(AV71:AV76)</f>
        <v>1420976</v>
      </c>
      <c r="AW70" s="20">
        <f t="shared" si="147"/>
        <v>1416708</v>
      </c>
      <c r="AX70" s="20">
        <f t="shared" si="147"/>
        <v>1366251</v>
      </c>
      <c r="AY70" s="20">
        <f t="shared" si="147"/>
        <v>1224270</v>
      </c>
      <c r="AZ70" s="20">
        <f t="shared" si="147"/>
        <v>1049061</v>
      </c>
      <c r="BA70" s="20">
        <f t="shared" si="147"/>
        <v>995389</v>
      </c>
      <c r="BB70" s="20">
        <f t="shared" ref="BB70" si="148">SUM(BB71:BB76)</f>
        <v>909563</v>
      </c>
      <c r="BC70" s="20">
        <f t="shared" si="147"/>
        <v>836196</v>
      </c>
      <c r="BD70" s="20">
        <f t="shared" ref="BD70:BE70" si="149">SUM(BD71:BD76)</f>
        <v>772009</v>
      </c>
      <c r="BE70" s="20">
        <f t="shared" si="149"/>
        <v>769911</v>
      </c>
      <c r="BF70" s="20">
        <f t="shared" ref="BF70:BG70" si="150">SUM(BF71:BF76)</f>
        <v>625771</v>
      </c>
      <c r="BG70" s="20">
        <f t="shared" si="150"/>
        <v>1000386</v>
      </c>
      <c r="BH70" s="20">
        <f t="shared" ref="BH70:BN70" si="151">SUM(BH71:BH76)</f>
        <v>940565</v>
      </c>
      <c r="BI70" s="20">
        <f t="shared" si="151"/>
        <v>882145</v>
      </c>
      <c r="BJ70" s="20">
        <f>SUM(BJ71:BJ76)</f>
        <v>841805</v>
      </c>
      <c r="BK70" s="20">
        <f t="shared" si="151"/>
        <v>806412</v>
      </c>
      <c r="BL70" s="20">
        <f t="shared" si="151"/>
        <v>775713</v>
      </c>
      <c r="BM70" s="20">
        <f t="shared" si="151"/>
        <v>749346</v>
      </c>
      <c r="BN70" s="20">
        <f t="shared" si="151"/>
        <v>694219</v>
      </c>
      <c r="BO70" s="20">
        <v>649131</v>
      </c>
      <c r="BP70" s="20">
        <f>SUM(BP71:BP76)</f>
        <v>590249</v>
      </c>
      <c r="BQ70" s="20">
        <v>583198</v>
      </c>
      <c r="BR70" s="20">
        <f t="shared" ref="BR70:BW70" si="152">SUM(BR71:BR76)</f>
        <v>573852</v>
      </c>
      <c r="BS70" s="20">
        <f t="shared" si="152"/>
        <v>575508</v>
      </c>
      <c r="BT70" s="20">
        <f t="shared" si="152"/>
        <v>589938</v>
      </c>
      <c r="BU70" s="20">
        <f t="shared" si="152"/>
        <v>591077</v>
      </c>
      <c r="BV70" s="20">
        <f t="shared" si="152"/>
        <v>598661</v>
      </c>
      <c r="BW70" s="20">
        <f t="shared" si="152"/>
        <v>591429</v>
      </c>
      <c r="BX70" s="20">
        <f t="shared" ref="BX70:BY70" si="153">SUM(BX71:BX76)</f>
        <v>534525</v>
      </c>
      <c r="BY70" s="20">
        <f t="shared" si="153"/>
        <v>513855</v>
      </c>
      <c r="BZ70" s="20">
        <f t="shared" ref="BZ70:CB70" si="154">SUM(BZ71:BZ76)</f>
        <v>482547</v>
      </c>
      <c r="CA70" s="20">
        <f t="shared" si="154"/>
        <v>439733</v>
      </c>
      <c r="CB70" s="20">
        <f t="shared" si="154"/>
        <v>382314.99999999988</v>
      </c>
      <c r="CC70" s="20">
        <f t="shared" ref="CC70:CD70" si="155">SUM(CC71:CC76)</f>
        <v>378640</v>
      </c>
      <c r="CD70" s="20">
        <f t="shared" si="155"/>
        <v>319278</v>
      </c>
      <c r="CE70" s="20">
        <f t="shared" ref="CE70:CF70" si="156">SUM(CE71:CE76)</f>
        <v>309730</v>
      </c>
      <c r="CF70" s="20">
        <f t="shared" si="156"/>
        <v>285763</v>
      </c>
      <c r="CH70" s="20">
        <f t="shared" ref="CH70:DR70" ca="1" si="157">SUM(CH71:CH76)</f>
        <v>734619</v>
      </c>
      <c r="CI70" s="20">
        <f t="shared" ca="1" si="157"/>
        <v>751810</v>
      </c>
      <c r="CJ70" s="20">
        <f t="shared" ca="1" si="157"/>
        <v>760641</v>
      </c>
      <c r="CK70" s="20">
        <f t="shared" ca="1" si="157"/>
        <v>787959</v>
      </c>
      <c r="CL70" s="20">
        <f t="shared" ca="1" si="157"/>
        <v>803153</v>
      </c>
      <c r="CM70" s="20">
        <f t="shared" ca="1" si="157"/>
        <v>794827</v>
      </c>
      <c r="CN70" s="20">
        <f t="shared" ca="1" si="157"/>
        <v>847386</v>
      </c>
      <c r="CO70" s="20">
        <f t="shared" ca="1" si="157"/>
        <v>879464</v>
      </c>
      <c r="CP70" s="20">
        <f t="shared" ca="1" si="157"/>
        <v>880475</v>
      </c>
      <c r="CQ70" s="20">
        <f t="shared" ca="1" si="157"/>
        <v>962245</v>
      </c>
      <c r="CR70" s="20">
        <f t="shared" ca="1" si="157"/>
        <v>1016282</v>
      </c>
      <c r="CS70" s="20">
        <f t="shared" ca="1" si="157"/>
        <v>1037601</v>
      </c>
      <c r="CT70" s="20">
        <f t="shared" ca="1" si="157"/>
        <v>1547138</v>
      </c>
      <c r="CU70" s="20">
        <f t="shared" ca="1" si="157"/>
        <v>1595834</v>
      </c>
      <c r="CV70" s="20">
        <f t="shared" ca="1" si="157"/>
        <v>1505230</v>
      </c>
      <c r="CW70" s="20">
        <f t="shared" ca="1" si="157"/>
        <v>1473898</v>
      </c>
      <c r="CX70" s="20">
        <f t="shared" ca="1" si="157"/>
        <v>1418271</v>
      </c>
      <c r="CY70" s="20">
        <f t="shared" ca="1" si="157"/>
        <v>1313293</v>
      </c>
      <c r="CZ70" s="20">
        <f t="shared" ca="1" si="157"/>
        <v>1433406</v>
      </c>
      <c r="DA70" s="20">
        <f t="shared" ca="1" si="157"/>
        <v>1487733</v>
      </c>
      <c r="DB70" s="20">
        <f t="shared" ca="1" si="157"/>
        <v>1412430</v>
      </c>
      <c r="DC70" s="20">
        <f t="shared" ca="1" si="157"/>
        <v>1485282</v>
      </c>
      <c r="DD70" s="20">
        <f t="shared" ca="1" si="157"/>
        <v>1519560</v>
      </c>
      <c r="DE70" s="20">
        <f t="shared" ca="1" si="157"/>
        <v>1486260</v>
      </c>
      <c r="DF70" s="20">
        <f t="shared" ca="1" si="157"/>
        <v>1557638</v>
      </c>
      <c r="DG70" s="20">
        <f t="shared" ca="1" si="157"/>
        <v>1567089</v>
      </c>
      <c r="DH70" s="20">
        <f t="shared" ca="1" si="157"/>
        <v>1677149</v>
      </c>
      <c r="DI70" s="20">
        <f t="shared" ca="1" si="157"/>
        <v>1582658</v>
      </c>
      <c r="DJ70" s="20">
        <f t="shared" ca="1" si="157"/>
        <v>1669702</v>
      </c>
      <c r="DK70" s="20">
        <f t="shared" ca="1" si="157"/>
        <v>1420976</v>
      </c>
      <c r="DL70" s="20">
        <f t="shared" ca="1" si="157"/>
        <v>1366251</v>
      </c>
      <c r="DM70" s="20">
        <f t="shared" ca="1" si="157"/>
        <v>1224270</v>
      </c>
      <c r="DN70" s="20">
        <f t="shared" ca="1" si="157"/>
        <v>1049061</v>
      </c>
      <c r="DO70" s="20">
        <f t="shared" ca="1" si="157"/>
        <v>909563</v>
      </c>
      <c r="DP70" s="20">
        <f t="shared" ca="1" si="157"/>
        <v>836196</v>
      </c>
      <c r="DQ70" s="20">
        <f t="shared" ca="1" si="157"/>
        <v>772009</v>
      </c>
      <c r="DR70" s="20">
        <f t="shared" ca="1" si="157"/>
        <v>625771</v>
      </c>
      <c r="DS70" s="20">
        <f t="shared" ref="DS70:DU70" ca="1" si="158">SUM(DS71:DS76)</f>
        <v>1000386</v>
      </c>
      <c r="DT70" s="20">
        <f t="shared" ca="1" si="158"/>
        <v>940565</v>
      </c>
      <c r="DU70" s="20">
        <f t="shared" ca="1" si="158"/>
        <v>841805</v>
      </c>
      <c r="DV70" s="20">
        <f t="shared" ref="DV70:EB70" ca="1" si="159">SUM(DV71:DV76)</f>
        <v>806412</v>
      </c>
      <c r="DW70" s="20">
        <f t="shared" ca="1" si="159"/>
        <v>775713</v>
      </c>
      <c r="DX70" s="20">
        <f t="shared" ca="1" si="159"/>
        <v>694219</v>
      </c>
      <c r="DY70" s="20">
        <f>BO70</f>
        <v>649131</v>
      </c>
      <c r="DZ70" s="20">
        <f t="shared" ca="1" si="159"/>
        <v>590249</v>
      </c>
      <c r="EA70" s="20">
        <f t="shared" ca="1" si="159"/>
        <v>573852</v>
      </c>
      <c r="EB70" s="20">
        <f t="shared" ca="1" si="159"/>
        <v>575508</v>
      </c>
      <c r="EC70" s="20">
        <f t="shared" ref="EC70:EF70" ca="1" si="160">SUM(EC71:EC76)</f>
        <v>589938</v>
      </c>
      <c r="ED70" s="20">
        <f t="shared" ca="1" si="160"/>
        <v>598661</v>
      </c>
      <c r="EE70" s="20">
        <f t="shared" ca="1" si="160"/>
        <v>591429</v>
      </c>
      <c r="EF70" s="20">
        <f t="shared" ca="1" si="160"/>
        <v>534525</v>
      </c>
      <c r="EG70" s="20">
        <f t="shared" ref="EG70:EH70" ca="1" si="161">SUM(EG71:EG76)</f>
        <v>482547</v>
      </c>
      <c r="EH70" s="20">
        <f t="shared" ca="1" si="161"/>
        <v>439733</v>
      </c>
      <c r="EI70" s="20">
        <f t="shared" ref="EI70:EK70" ca="1" si="162">SUM(EI71:EI76)</f>
        <v>382314.99999999988</v>
      </c>
      <c r="EJ70" s="20">
        <f t="shared" ca="1" si="162"/>
        <v>319278</v>
      </c>
      <c r="EK70" s="20">
        <f t="shared" ca="1" si="162"/>
        <v>309730</v>
      </c>
      <c r="EL70" s="20">
        <f t="shared" ref="EL70" ca="1" si="163">SUM(EL71:EL76)</f>
        <v>285763</v>
      </c>
    </row>
    <row r="71" spans="2:142" x14ac:dyDescent="0.3">
      <c r="B71" s="137" t="s">
        <v>68</v>
      </c>
      <c r="C71" s="111" t="s">
        <v>417</v>
      </c>
      <c r="D71" s="183" t="str">
        <f>IF(Menu!$D$12="PT",'Dados Financeiros'!B71,'Dados Financeiros'!C71)</f>
        <v>Capital social</v>
      </c>
      <c r="E71" s="4">
        <v>668858</v>
      </c>
      <c r="F71" s="4">
        <v>668858</v>
      </c>
      <c r="G71" s="4">
        <v>668858</v>
      </c>
      <c r="H71" s="4">
        <v>668858</v>
      </c>
      <c r="I71" s="4">
        <v>668858</v>
      </c>
      <c r="J71" s="4">
        <v>668858</v>
      </c>
      <c r="K71" s="4">
        <v>669525</v>
      </c>
      <c r="L71" s="4">
        <v>671068</v>
      </c>
      <c r="M71" s="4">
        <v>671569</v>
      </c>
      <c r="N71" s="4">
        <v>668858</v>
      </c>
      <c r="O71" s="4">
        <v>668858</v>
      </c>
      <c r="P71" s="4">
        <v>668858</v>
      </c>
      <c r="Q71" s="4">
        <v>668858</v>
      </c>
      <c r="R71" s="4">
        <v>668858</v>
      </c>
      <c r="S71" s="4">
        <v>668858</v>
      </c>
      <c r="T71" s="4">
        <v>668858</v>
      </c>
      <c r="U71" s="4">
        <v>1051129</v>
      </c>
      <c r="V71" s="4">
        <v>1067163</v>
      </c>
      <c r="W71" s="4">
        <v>1067163</v>
      </c>
      <c r="X71" s="4">
        <v>1072816</v>
      </c>
      <c r="Y71" s="4">
        <v>1072816</v>
      </c>
      <c r="Z71" s="4">
        <v>1072816</v>
      </c>
      <c r="AA71" s="4">
        <v>1072816</v>
      </c>
      <c r="AB71" s="4">
        <v>1072816</v>
      </c>
      <c r="AC71" s="4">
        <v>1072816</v>
      </c>
      <c r="AD71" s="4">
        <v>1072816</v>
      </c>
      <c r="AE71" s="4">
        <v>1072816</v>
      </c>
      <c r="AF71" s="4">
        <v>1072816</v>
      </c>
      <c r="AG71" s="4">
        <v>1072816</v>
      </c>
      <c r="AH71" s="4">
        <v>1072816</v>
      </c>
      <c r="AI71" s="4">
        <v>1072816</v>
      </c>
      <c r="AJ71" s="4">
        <v>1072816</v>
      </c>
      <c r="AK71" s="4">
        <v>1072816</v>
      </c>
      <c r="AL71" s="4">
        <v>1072816</v>
      </c>
      <c r="AM71" s="4">
        <v>1072816</v>
      </c>
      <c r="AN71" s="4">
        <v>1072816</v>
      </c>
      <c r="AO71" s="4">
        <v>1072816</v>
      </c>
      <c r="AP71" s="4">
        <v>1072816</v>
      </c>
      <c r="AQ71" s="4">
        <v>1072816</v>
      </c>
      <c r="AR71" s="4">
        <v>1072816</v>
      </c>
      <c r="AS71" s="4">
        <v>1072816</v>
      </c>
      <c r="AT71" s="4">
        <v>1072816</v>
      </c>
      <c r="AU71" s="4">
        <v>1269840</v>
      </c>
      <c r="AV71" s="4">
        <v>1272816</v>
      </c>
      <c r="AW71" s="4">
        <v>1333249</v>
      </c>
      <c r="AX71" s="4">
        <v>1422816</v>
      </c>
      <c r="AY71" s="4">
        <v>1422816</v>
      </c>
      <c r="AZ71" s="4">
        <v>1422816</v>
      </c>
      <c r="BA71" s="94">
        <v>1422816</v>
      </c>
      <c r="BB71" s="4">
        <v>1422816</v>
      </c>
      <c r="BC71" s="4">
        <v>1422816</v>
      </c>
      <c r="BD71" s="4">
        <v>1422816</v>
      </c>
      <c r="BE71" s="4">
        <v>1422816</v>
      </c>
      <c r="BF71" s="4">
        <v>1422816</v>
      </c>
      <c r="BG71" s="4">
        <v>1868316</v>
      </c>
      <c r="BH71" s="4">
        <v>1868316</v>
      </c>
      <c r="BI71" s="4">
        <v>1868316</v>
      </c>
      <c r="BJ71" s="4">
        <v>1868316</v>
      </c>
      <c r="BK71" s="4">
        <v>1868316</v>
      </c>
      <c r="BL71" s="4">
        <v>1868316</v>
      </c>
      <c r="BM71" s="4">
        <v>1868316</v>
      </c>
      <c r="BN71" s="4">
        <v>1868316</v>
      </c>
      <c r="BO71" s="4">
        <v>1868316</v>
      </c>
      <c r="BP71" s="4">
        <v>1868316</v>
      </c>
      <c r="BQ71" s="4">
        <v>1868316</v>
      </c>
      <c r="BR71" s="4">
        <v>1868316</v>
      </c>
      <c r="BS71" s="4">
        <v>1868316</v>
      </c>
      <c r="BT71" s="4">
        <v>1868316</v>
      </c>
      <c r="BU71" s="4">
        <v>1868316</v>
      </c>
      <c r="BV71" s="4">
        <v>1868316</v>
      </c>
      <c r="BW71" s="4">
        <v>1868316</v>
      </c>
      <c r="BX71" s="4">
        <v>1868316</v>
      </c>
      <c r="BY71" s="4">
        <v>1868316</v>
      </c>
      <c r="BZ71" s="4">
        <v>1868316</v>
      </c>
      <c r="CA71" s="4">
        <v>1868316</v>
      </c>
      <c r="CB71" s="4">
        <v>1868316</v>
      </c>
      <c r="CC71" s="4">
        <v>1868316</v>
      </c>
      <c r="CD71" s="4">
        <v>1868316</v>
      </c>
      <c r="CE71" s="4">
        <v>1868316</v>
      </c>
      <c r="CF71" s="4">
        <v>1868316</v>
      </c>
      <c r="CH71" s="94">
        <f t="shared" ref="CH71:CQ76" ca="1" si="164">INDIRECT(ADDRESS(ROW(),MATCH(IF(LEFT(CH$2,2)="1S","2T",IF(LEFT(CH$2,2)="9M","3T","4T"))&amp;RIGHT(CH$2,2),$A$2:$CG$2,0)))</f>
        <v>668858</v>
      </c>
      <c r="CI71" s="94">
        <f t="shared" ca="1" si="164"/>
        <v>668858</v>
      </c>
      <c r="CJ71" s="94">
        <f t="shared" ca="1" si="164"/>
        <v>668858</v>
      </c>
      <c r="CK71" s="94">
        <f t="shared" ca="1" si="164"/>
        <v>668858</v>
      </c>
      <c r="CL71" s="94">
        <f t="shared" ca="1" si="164"/>
        <v>669525</v>
      </c>
      <c r="CM71" s="94">
        <f t="shared" ca="1" si="164"/>
        <v>671068</v>
      </c>
      <c r="CN71" s="94">
        <f t="shared" ca="1" si="164"/>
        <v>668858</v>
      </c>
      <c r="CO71" s="94">
        <f t="shared" ca="1" si="164"/>
        <v>668858</v>
      </c>
      <c r="CP71" s="94">
        <f t="shared" ca="1" si="164"/>
        <v>668858</v>
      </c>
      <c r="CQ71" s="94">
        <f t="shared" ca="1" si="164"/>
        <v>668858</v>
      </c>
      <c r="CR71" s="94">
        <f t="shared" ref="CR71:DA76" ca="1" si="165">INDIRECT(ADDRESS(ROW(),MATCH(IF(LEFT(CR$2,2)="1S","2T",IF(LEFT(CR$2,2)="9M","3T","4T"))&amp;RIGHT(CR$2,2),$A$2:$CG$2,0)))</f>
        <v>668858</v>
      </c>
      <c r="CS71" s="94">
        <f t="shared" ca="1" si="165"/>
        <v>668858</v>
      </c>
      <c r="CT71" s="94">
        <f t="shared" ca="1" si="165"/>
        <v>1067163</v>
      </c>
      <c r="CU71" s="94">
        <f t="shared" ca="1" si="165"/>
        <v>1067163</v>
      </c>
      <c r="CV71" s="94">
        <f t="shared" ca="1" si="165"/>
        <v>1072816</v>
      </c>
      <c r="CW71" s="94">
        <f t="shared" ca="1" si="165"/>
        <v>1072816</v>
      </c>
      <c r="CX71" s="94">
        <f t="shared" ca="1" si="165"/>
        <v>1072816</v>
      </c>
      <c r="CY71" s="94">
        <f t="shared" ca="1" si="165"/>
        <v>1072816</v>
      </c>
      <c r="CZ71" s="94">
        <f t="shared" ca="1" si="165"/>
        <v>1072816</v>
      </c>
      <c r="DA71" s="94">
        <f t="shared" ca="1" si="165"/>
        <v>1072816</v>
      </c>
      <c r="DB71" s="94">
        <f t="shared" ref="DB71:DK76" ca="1" si="166">INDIRECT(ADDRESS(ROW(),MATCH(IF(LEFT(DB$2,2)="1S","2T",IF(LEFT(DB$2,2)="9M","3T","4T"))&amp;RIGHT(DB$2,2),$A$2:$CG$2,0)))</f>
        <v>1072816</v>
      </c>
      <c r="DC71" s="94">
        <f t="shared" ca="1" si="166"/>
        <v>1072816</v>
      </c>
      <c r="DD71" s="94">
        <f t="shared" ca="1" si="166"/>
        <v>1072816</v>
      </c>
      <c r="DE71" s="94">
        <f t="shared" ca="1" si="166"/>
        <v>1072816</v>
      </c>
      <c r="DF71" s="94">
        <f t="shared" ca="1" si="166"/>
        <v>1072816</v>
      </c>
      <c r="DG71" s="94">
        <f t="shared" ca="1" si="166"/>
        <v>1072816</v>
      </c>
      <c r="DH71" s="94">
        <f t="shared" ca="1" si="166"/>
        <v>1072816</v>
      </c>
      <c r="DI71" s="94">
        <f t="shared" ca="1" si="166"/>
        <v>1072816</v>
      </c>
      <c r="DJ71" s="94">
        <f t="shared" ca="1" si="166"/>
        <v>1269840</v>
      </c>
      <c r="DK71" s="94">
        <f t="shared" ca="1" si="166"/>
        <v>1272816</v>
      </c>
      <c r="DL71" s="94">
        <f t="shared" ref="DL71:DU76" ca="1" si="167">INDIRECT(ADDRESS(ROW(),MATCH(IF(LEFT(DL$2,2)="1S","2T",IF(LEFT(DL$2,2)="9M","3T","4T"))&amp;RIGHT(DL$2,2),$A$2:$CG$2,0)))</f>
        <v>1422816</v>
      </c>
      <c r="DM71" s="94">
        <f t="shared" ca="1" si="167"/>
        <v>1422816</v>
      </c>
      <c r="DN71" s="94">
        <f t="shared" ca="1" si="167"/>
        <v>1422816</v>
      </c>
      <c r="DO71" s="94">
        <f t="shared" ca="1" si="167"/>
        <v>1422816</v>
      </c>
      <c r="DP71" s="94">
        <f t="shared" ca="1" si="167"/>
        <v>1422816</v>
      </c>
      <c r="DQ71" s="94">
        <f t="shared" ca="1" si="167"/>
        <v>1422816</v>
      </c>
      <c r="DR71" s="94">
        <f t="shared" ca="1" si="167"/>
        <v>1422816</v>
      </c>
      <c r="DS71" s="94">
        <f t="shared" ca="1" si="167"/>
        <v>1868316</v>
      </c>
      <c r="DT71" s="94">
        <f t="shared" ca="1" si="167"/>
        <v>1868316</v>
      </c>
      <c r="DU71" s="94">
        <f t="shared" ca="1" si="167"/>
        <v>1868316</v>
      </c>
      <c r="DV71" s="94">
        <f t="shared" ref="DV71:EE76" ca="1" si="168">INDIRECT(ADDRESS(ROW(),MATCH(IF(LEFT(DV$2,2)="1S","2T",IF(LEFT(DV$2,2)="9M","3T","4T"))&amp;RIGHT(DV$2,2),$A$2:$CG$2,0)))</f>
        <v>1868316</v>
      </c>
      <c r="DW71" s="94">
        <f t="shared" ca="1" si="168"/>
        <v>1868316</v>
      </c>
      <c r="DX71" s="94">
        <f t="shared" ca="1" si="168"/>
        <v>1868316</v>
      </c>
      <c r="DY71" s="94">
        <f t="shared" ca="1" si="168"/>
        <v>1868316</v>
      </c>
      <c r="DZ71" s="94">
        <f t="shared" ca="1" si="168"/>
        <v>1868316</v>
      </c>
      <c r="EA71" s="94">
        <f t="shared" ca="1" si="168"/>
        <v>1868316</v>
      </c>
      <c r="EB71" s="94">
        <f t="shared" ca="1" si="168"/>
        <v>1868316</v>
      </c>
      <c r="EC71" s="94">
        <f t="shared" ca="1" si="168"/>
        <v>1868316</v>
      </c>
      <c r="ED71" s="94">
        <f t="shared" ca="1" si="168"/>
        <v>1868316</v>
      </c>
      <c r="EE71" s="94">
        <f t="shared" ca="1" si="168"/>
        <v>1868316</v>
      </c>
      <c r="EF71" s="94">
        <f t="shared" ref="EF71:EL76" ca="1" si="169">INDIRECT(ADDRESS(ROW(),MATCH(IF(LEFT(EF$2,2)="1S","2T",IF(LEFT(EF$2,2)="9M","3T","4T"))&amp;RIGHT(EF$2,2),$A$2:$CG$2,0)))</f>
        <v>1868316</v>
      </c>
      <c r="EG71" s="94">
        <f t="shared" ca="1" si="169"/>
        <v>1868316</v>
      </c>
      <c r="EH71" s="94">
        <f t="shared" ca="1" si="169"/>
        <v>1868316</v>
      </c>
      <c r="EI71" s="94">
        <f t="shared" ca="1" si="169"/>
        <v>1868316</v>
      </c>
      <c r="EJ71" s="94">
        <f t="shared" ca="1" si="169"/>
        <v>1868316</v>
      </c>
      <c r="EK71" s="94">
        <f t="shared" ca="1" si="169"/>
        <v>1868316</v>
      </c>
      <c r="EL71" s="94">
        <f t="shared" ca="1" si="169"/>
        <v>1868316</v>
      </c>
    </row>
    <row r="72" spans="2:142" x14ac:dyDescent="0.3">
      <c r="B72" s="110" t="s">
        <v>67</v>
      </c>
      <c r="C72" s="110" t="s">
        <v>418</v>
      </c>
      <c r="D72" s="182" t="str">
        <f>IF(Menu!$D$12="PT",'Dados Financeiros'!B72,'Dados Financeiros'!C72)</f>
        <v>Reservas de lucros</v>
      </c>
      <c r="E72" s="32">
        <v>484</v>
      </c>
      <c r="F72" s="32">
        <v>5525</v>
      </c>
      <c r="G72" s="32">
        <v>5525</v>
      </c>
      <c r="H72" s="32">
        <v>91783</v>
      </c>
      <c r="I72" s="32">
        <v>67482</v>
      </c>
      <c r="J72" s="32">
        <v>67702</v>
      </c>
      <c r="K72" s="32">
        <v>64558</v>
      </c>
      <c r="L72" s="32">
        <v>123759</v>
      </c>
      <c r="M72" s="32">
        <v>123759</v>
      </c>
      <c r="N72" s="32">
        <v>126972</v>
      </c>
      <c r="O72" s="32">
        <v>127511</v>
      </c>
      <c r="P72" s="32">
        <v>133921</v>
      </c>
      <c r="Q72" s="32">
        <v>213542</v>
      </c>
      <c r="R72" s="32">
        <v>214158</v>
      </c>
      <c r="S72" s="32">
        <v>214766</v>
      </c>
      <c r="T72" s="32">
        <v>369199</v>
      </c>
      <c r="U72" s="32">
        <v>371632</v>
      </c>
      <c r="V72" s="32">
        <f>360579+12520</f>
        <v>373099</v>
      </c>
      <c r="W72" s="32">
        <v>360579</v>
      </c>
      <c r="X72" s="32">
        <v>470692</v>
      </c>
      <c r="Y72" s="32">
        <v>470692</v>
      </c>
      <c r="Z72" s="32">
        <v>470692</v>
      </c>
      <c r="AA72" s="32">
        <v>450114</v>
      </c>
      <c r="AB72" s="32">
        <v>450114</v>
      </c>
      <c r="AC72" s="32">
        <v>450114</v>
      </c>
      <c r="AD72" s="32">
        <v>450114</v>
      </c>
      <c r="AE72" s="32">
        <v>279166</v>
      </c>
      <c r="AF72" s="32">
        <v>279166</v>
      </c>
      <c r="AG72" s="32">
        <v>279166</v>
      </c>
      <c r="AH72" s="32">
        <v>279166</v>
      </c>
      <c r="AI72" s="32">
        <v>279166</v>
      </c>
      <c r="AJ72" s="32">
        <v>384261</v>
      </c>
      <c r="AK72" s="32">
        <v>299169</v>
      </c>
      <c r="AL72" s="32">
        <v>299169</v>
      </c>
      <c r="AM72" s="32">
        <v>299169</v>
      </c>
      <c r="AN72" s="4">
        <v>417624</v>
      </c>
      <c r="AO72" s="4">
        <v>417624</v>
      </c>
      <c r="AP72" s="4">
        <v>445658</v>
      </c>
      <c r="AQ72" s="4">
        <v>417624</v>
      </c>
      <c r="AR72" s="4">
        <v>627175</v>
      </c>
      <c r="AS72" s="4">
        <v>616526</v>
      </c>
      <c r="AT72" s="4">
        <v>607349</v>
      </c>
      <c r="AU72" s="4">
        <v>607349</v>
      </c>
      <c r="AV72" s="4">
        <v>158368</v>
      </c>
      <c r="AW72" s="4">
        <v>158368</v>
      </c>
      <c r="AX72" s="4">
        <v>158368</v>
      </c>
      <c r="AY72" s="4">
        <v>158368</v>
      </c>
      <c r="AZ72" s="4">
        <v>0</v>
      </c>
      <c r="BA72" s="9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H72" s="94">
        <f t="shared" ca="1" si="164"/>
        <v>5525</v>
      </c>
      <c r="CI72" s="94">
        <f t="shared" ca="1" si="164"/>
        <v>5525</v>
      </c>
      <c r="CJ72" s="94">
        <f t="shared" ca="1" si="164"/>
        <v>91783</v>
      </c>
      <c r="CK72" s="94">
        <f t="shared" ca="1" si="164"/>
        <v>67702</v>
      </c>
      <c r="CL72" s="94">
        <f t="shared" ca="1" si="164"/>
        <v>64558</v>
      </c>
      <c r="CM72" s="94">
        <f t="shared" ca="1" si="164"/>
        <v>123759</v>
      </c>
      <c r="CN72" s="94">
        <f t="shared" ca="1" si="164"/>
        <v>126972</v>
      </c>
      <c r="CO72" s="94">
        <f t="shared" ca="1" si="164"/>
        <v>127511</v>
      </c>
      <c r="CP72" s="94">
        <f t="shared" ca="1" si="164"/>
        <v>133921</v>
      </c>
      <c r="CQ72" s="94">
        <f t="shared" ca="1" si="164"/>
        <v>214158</v>
      </c>
      <c r="CR72" s="94">
        <f t="shared" ca="1" si="165"/>
        <v>214766</v>
      </c>
      <c r="CS72" s="94">
        <f t="shared" ca="1" si="165"/>
        <v>369199</v>
      </c>
      <c r="CT72" s="94">
        <f t="shared" ca="1" si="165"/>
        <v>373099</v>
      </c>
      <c r="CU72" s="94">
        <f t="shared" ca="1" si="165"/>
        <v>360579</v>
      </c>
      <c r="CV72" s="94">
        <f t="shared" ca="1" si="165"/>
        <v>470692</v>
      </c>
      <c r="CW72" s="94">
        <f t="shared" ca="1" si="165"/>
        <v>450114</v>
      </c>
      <c r="CX72" s="94">
        <f t="shared" ca="1" si="165"/>
        <v>450114</v>
      </c>
      <c r="CY72" s="94">
        <f t="shared" ca="1" si="165"/>
        <v>279166</v>
      </c>
      <c r="CZ72" s="94">
        <f t="shared" ca="1" si="165"/>
        <v>279166</v>
      </c>
      <c r="DA72" s="94">
        <f t="shared" ca="1" si="165"/>
        <v>279166</v>
      </c>
      <c r="DB72" s="94">
        <f t="shared" ca="1" si="166"/>
        <v>384261</v>
      </c>
      <c r="DC72" s="94">
        <f t="shared" ca="1" si="166"/>
        <v>299169</v>
      </c>
      <c r="DD72" s="94">
        <f t="shared" ca="1" si="166"/>
        <v>299169</v>
      </c>
      <c r="DE72" s="94">
        <f t="shared" ca="1" si="166"/>
        <v>417624</v>
      </c>
      <c r="DF72" s="94">
        <f t="shared" ca="1" si="166"/>
        <v>445658</v>
      </c>
      <c r="DG72" s="94">
        <f t="shared" ca="1" si="166"/>
        <v>417624</v>
      </c>
      <c r="DH72" s="94">
        <f t="shared" ca="1" si="166"/>
        <v>627175</v>
      </c>
      <c r="DI72" s="94">
        <f t="shared" ca="1" si="166"/>
        <v>607349</v>
      </c>
      <c r="DJ72" s="94">
        <f t="shared" ca="1" si="166"/>
        <v>607349</v>
      </c>
      <c r="DK72" s="94">
        <f t="shared" ca="1" si="166"/>
        <v>158368</v>
      </c>
      <c r="DL72" s="94">
        <f t="shared" ca="1" si="167"/>
        <v>158368</v>
      </c>
      <c r="DM72" s="94">
        <f t="shared" ca="1" si="167"/>
        <v>158368</v>
      </c>
      <c r="DN72" s="94">
        <f t="shared" ca="1" si="167"/>
        <v>0</v>
      </c>
      <c r="DO72" s="94">
        <f t="shared" ca="1" si="167"/>
        <v>0</v>
      </c>
      <c r="DP72" s="94">
        <f t="shared" ca="1" si="167"/>
        <v>0</v>
      </c>
      <c r="DQ72" s="94">
        <f t="shared" ca="1" si="167"/>
        <v>0</v>
      </c>
      <c r="DR72" s="94">
        <f t="shared" ca="1" si="167"/>
        <v>0</v>
      </c>
      <c r="DS72" s="94">
        <f t="shared" ca="1" si="167"/>
        <v>0</v>
      </c>
      <c r="DT72" s="94">
        <f t="shared" ca="1" si="167"/>
        <v>0</v>
      </c>
      <c r="DU72" s="94">
        <f t="shared" ca="1" si="167"/>
        <v>0</v>
      </c>
      <c r="DV72" s="94">
        <f t="shared" ca="1" si="168"/>
        <v>0</v>
      </c>
      <c r="DW72" s="94">
        <f t="shared" ca="1" si="168"/>
        <v>0</v>
      </c>
      <c r="DX72" s="94">
        <f t="shared" ca="1" si="168"/>
        <v>0</v>
      </c>
      <c r="DY72" s="94">
        <f t="shared" ca="1" si="168"/>
        <v>0</v>
      </c>
      <c r="DZ72" s="94">
        <f t="shared" ca="1" si="168"/>
        <v>0</v>
      </c>
      <c r="EA72" s="94">
        <f t="shared" ca="1" si="168"/>
        <v>0</v>
      </c>
      <c r="EB72" s="94">
        <f t="shared" ca="1" si="168"/>
        <v>0</v>
      </c>
      <c r="EC72" s="94">
        <f t="shared" ca="1" si="168"/>
        <v>0</v>
      </c>
      <c r="ED72" s="94">
        <f t="shared" ca="1" si="168"/>
        <v>0</v>
      </c>
      <c r="EE72" s="94">
        <f t="shared" ca="1" si="168"/>
        <v>0</v>
      </c>
      <c r="EF72" s="94">
        <f t="shared" ca="1" si="169"/>
        <v>0</v>
      </c>
      <c r="EG72" s="94">
        <f t="shared" ca="1" si="169"/>
        <v>0</v>
      </c>
      <c r="EH72" s="94">
        <f t="shared" ca="1" si="169"/>
        <v>0</v>
      </c>
      <c r="EI72" s="94">
        <f t="shared" ca="1" si="169"/>
        <v>0</v>
      </c>
      <c r="EJ72" s="94">
        <f t="shared" ca="1" si="169"/>
        <v>0</v>
      </c>
      <c r="EK72" s="94">
        <f t="shared" ca="1" si="169"/>
        <v>0</v>
      </c>
      <c r="EL72" s="94">
        <f t="shared" ca="1" si="169"/>
        <v>0</v>
      </c>
    </row>
    <row r="73" spans="2:142" x14ac:dyDescent="0.3">
      <c r="B73" s="110" t="s">
        <v>66</v>
      </c>
      <c r="C73" s="110" t="s">
        <v>419</v>
      </c>
      <c r="D73" s="182" t="str">
        <f>IF(Menu!$D$12="PT",'Dados Financeiros'!B73,'Dados Financeiros'!C73)</f>
        <v>Ações em tesouraria</v>
      </c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>
        <v>-1061</v>
      </c>
      <c r="P73" s="32">
        <v>-1061</v>
      </c>
      <c r="Q73" s="32">
        <v>-1564</v>
      </c>
      <c r="R73" s="32">
        <v>-1188</v>
      </c>
      <c r="S73" s="32">
        <v>-1126</v>
      </c>
      <c r="T73" s="32">
        <v>-456</v>
      </c>
      <c r="U73" s="32">
        <v>-3633</v>
      </c>
      <c r="V73" s="32">
        <v>-4822</v>
      </c>
      <c r="W73" s="32">
        <v>-4822</v>
      </c>
      <c r="X73" s="32">
        <v>-32404</v>
      </c>
      <c r="Y73" s="32">
        <v>-35258</v>
      </c>
      <c r="Z73" s="32">
        <v>-35258</v>
      </c>
      <c r="AA73" s="32">
        <v>-34749</v>
      </c>
      <c r="AB73" s="32">
        <v>-34749</v>
      </c>
      <c r="AC73" s="32">
        <v>-34749</v>
      </c>
      <c r="AD73" s="32">
        <v>-34749</v>
      </c>
      <c r="AE73" s="32">
        <v>-34749</v>
      </c>
      <c r="AF73" s="32">
        <v>-34749</v>
      </c>
      <c r="AG73" s="32">
        <v>-34749</v>
      </c>
      <c r="AH73" s="32">
        <v>-34286</v>
      </c>
      <c r="AI73" s="32">
        <v>-43829</v>
      </c>
      <c r="AJ73" s="32">
        <v>-43668</v>
      </c>
      <c r="AK73" s="32">
        <v>-4904</v>
      </c>
      <c r="AL73" s="32">
        <v>-4904</v>
      </c>
      <c r="AM73" s="32">
        <v>-4904</v>
      </c>
      <c r="AN73" s="4">
        <v>-4904</v>
      </c>
      <c r="AO73" s="4">
        <v>-4904</v>
      </c>
      <c r="AP73" s="4">
        <v>-4904</v>
      </c>
      <c r="AQ73" s="4">
        <v>-4904</v>
      </c>
      <c r="AR73" s="4">
        <v>-14707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9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H73" s="94">
        <f t="shared" ca="1" si="164"/>
        <v>0</v>
      </c>
      <c r="CI73" s="94">
        <f t="shared" ca="1" si="164"/>
        <v>0</v>
      </c>
      <c r="CJ73" s="94">
        <f t="shared" ca="1" si="164"/>
        <v>0</v>
      </c>
      <c r="CK73" s="94">
        <f t="shared" ca="1" si="164"/>
        <v>0</v>
      </c>
      <c r="CL73" s="94">
        <f t="shared" ca="1" si="164"/>
        <v>0</v>
      </c>
      <c r="CM73" s="94">
        <f t="shared" ca="1" si="164"/>
        <v>0</v>
      </c>
      <c r="CN73" s="94">
        <f t="shared" ca="1" si="164"/>
        <v>0</v>
      </c>
      <c r="CO73" s="94">
        <f t="shared" ca="1" si="164"/>
        <v>-1061</v>
      </c>
      <c r="CP73" s="94">
        <f t="shared" ca="1" si="164"/>
        <v>-1061</v>
      </c>
      <c r="CQ73" s="94">
        <f t="shared" ca="1" si="164"/>
        <v>-1188</v>
      </c>
      <c r="CR73" s="94">
        <f t="shared" ca="1" si="165"/>
        <v>-1126</v>
      </c>
      <c r="CS73" s="94">
        <f t="shared" ca="1" si="165"/>
        <v>-456</v>
      </c>
      <c r="CT73" s="94">
        <f t="shared" ca="1" si="165"/>
        <v>-4822</v>
      </c>
      <c r="CU73" s="94">
        <f t="shared" ca="1" si="165"/>
        <v>-4822</v>
      </c>
      <c r="CV73" s="94">
        <f t="shared" ca="1" si="165"/>
        <v>-32404</v>
      </c>
      <c r="CW73" s="94">
        <f t="shared" ca="1" si="165"/>
        <v>-34749</v>
      </c>
      <c r="CX73" s="94">
        <f t="shared" ca="1" si="165"/>
        <v>-34749</v>
      </c>
      <c r="CY73" s="94">
        <f t="shared" ca="1" si="165"/>
        <v>-34749</v>
      </c>
      <c r="CZ73" s="94">
        <f t="shared" ca="1" si="165"/>
        <v>-34286</v>
      </c>
      <c r="DA73" s="94">
        <f t="shared" ca="1" si="165"/>
        <v>-43829</v>
      </c>
      <c r="DB73" s="94">
        <f t="shared" ca="1" si="166"/>
        <v>-43668</v>
      </c>
      <c r="DC73" s="94">
        <f t="shared" ca="1" si="166"/>
        <v>-4904</v>
      </c>
      <c r="DD73" s="94">
        <f t="shared" ca="1" si="166"/>
        <v>-4904</v>
      </c>
      <c r="DE73" s="94">
        <f t="shared" ca="1" si="166"/>
        <v>-4904</v>
      </c>
      <c r="DF73" s="94">
        <f t="shared" ca="1" si="166"/>
        <v>-4904</v>
      </c>
      <c r="DG73" s="94">
        <f t="shared" ca="1" si="166"/>
        <v>-4904</v>
      </c>
      <c r="DH73" s="94">
        <f t="shared" ca="1" si="166"/>
        <v>-14707</v>
      </c>
      <c r="DI73" s="94">
        <f t="shared" ca="1" si="166"/>
        <v>0</v>
      </c>
      <c r="DJ73" s="94">
        <f t="shared" ca="1" si="166"/>
        <v>0</v>
      </c>
      <c r="DK73" s="94">
        <f t="shared" ca="1" si="166"/>
        <v>0</v>
      </c>
      <c r="DL73" s="94">
        <f t="shared" ca="1" si="167"/>
        <v>0</v>
      </c>
      <c r="DM73" s="94">
        <f t="shared" ca="1" si="167"/>
        <v>0</v>
      </c>
      <c r="DN73" s="94">
        <f t="shared" ca="1" si="167"/>
        <v>0</v>
      </c>
      <c r="DO73" s="94">
        <f t="shared" ca="1" si="167"/>
        <v>0</v>
      </c>
      <c r="DP73" s="94">
        <f t="shared" ca="1" si="167"/>
        <v>0</v>
      </c>
      <c r="DQ73" s="94">
        <f t="shared" ca="1" si="167"/>
        <v>0</v>
      </c>
      <c r="DR73" s="94">
        <f t="shared" ca="1" si="167"/>
        <v>0</v>
      </c>
      <c r="DS73" s="94">
        <f t="shared" ca="1" si="167"/>
        <v>0</v>
      </c>
      <c r="DT73" s="94">
        <f t="shared" ca="1" si="167"/>
        <v>0</v>
      </c>
      <c r="DU73" s="94">
        <f t="shared" ca="1" si="167"/>
        <v>0</v>
      </c>
      <c r="DV73" s="94">
        <f t="shared" ca="1" si="168"/>
        <v>0</v>
      </c>
      <c r="DW73" s="94">
        <f t="shared" ca="1" si="168"/>
        <v>0</v>
      </c>
      <c r="DX73" s="94">
        <f t="shared" ca="1" si="168"/>
        <v>0</v>
      </c>
      <c r="DY73" s="94">
        <f t="shared" ca="1" si="168"/>
        <v>0</v>
      </c>
      <c r="DZ73" s="94">
        <f t="shared" ca="1" si="168"/>
        <v>0</v>
      </c>
      <c r="EA73" s="94">
        <f t="shared" ca="1" si="168"/>
        <v>0</v>
      </c>
      <c r="EB73" s="94">
        <f t="shared" ca="1" si="168"/>
        <v>0</v>
      </c>
      <c r="EC73" s="94">
        <f t="shared" ca="1" si="168"/>
        <v>0</v>
      </c>
      <c r="ED73" s="94">
        <f t="shared" ca="1" si="168"/>
        <v>0</v>
      </c>
      <c r="EE73" s="94">
        <f t="shared" ca="1" si="168"/>
        <v>0</v>
      </c>
      <c r="EF73" s="94">
        <f t="shared" ca="1" si="169"/>
        <v>0</v>
      </c>
      <c r="EG73" s="94">
        <f t="shared" ca="1" si="169"/>
        <v>0</v>
      </c>
      <c r="EH73" s="94">
        <f t="shared" ca="1" si="169"/>
        <v>0</v>
      </c>
      <c r="EI73" s="94">
        <f t="shared" ca="1" si="169"/>
        <v>0</v>
      </c>
      <c r="EJ73" s="94">
        <f t="shared" ca="1" si="169"/>
        <v>0</v>
      </c>
      <c r="EK73" s="94">
        <f t="shared" ca="1" si="169"/>
        <v>0</v>
      </c>
      <c r="EL73" s="94">
        <f t="shared" ca="1" si="169"/>
        <v>0</v>
      </c>
    </row>
    <row r="74" spans="2:142" x14ac:dyDescent="0.3">
      <c r="B74" s="110" t="s">
        <v>785</v>
      </c>
      <c r="C74" s="110" t="s">
        <v>420</v>
      </c>
      <c r="D74" s="182" t="str">
        <f>IF(Menu!$D$12="PT",'Dados Financeiros'!B74,'Dados Financeiros'!C74)</f>
        <v>Prejuízos acumulados</v>
      </c>
      <c r="E74" s="32">
        <v>44640</v>
      </c>
      <c r="F74" s="32">
        <v>60236</v>
      </c>
      <c r="G74" s="32">
        <v>77427</v>
      </c>
      <c r="H74" s="32">
        <v>0</v>
      </c>
      <c r="I74" s="32">
        <v>30115</v>
      </c>
      <c r="J74" s="32">
        <v>51399</v>
      </c>
      <c r="K74" s="32">
        <v>69070</v>
      </c>
      <c r="L74" s="32">
        <v>0</v>
      </c>
      <c r="M74" s="32">
        <v>21469</v>
      </c>
      <c r="N74" s="32">
        <v>51556</v>
      </c>
      <c r="O74" s="32">
        <v>84156</v>
      </c>
      <c r="P74" s="32">
        <v>78757</v>
      </c>
      <c r="Q74" s="32">
        <v>40007</v>
      </c>
      <c r="R74" s="32">
        <v>80417</v>
      </c>
      <c r="S74" s="32">
        <v>133784</v>
      </c>
      <c r="T74" s="32">
        <v>0</v>
      </c>
      <c r="U74" s="32">
        <v>60827</v>
      </c>
      <c r="V74" s="32">
        <v>127802</v>
      </c>
      <c r="W74" s="32">
        <v>176520</v>
      </c>
      <c r="X74" s="32">
        <v>0</v>
      </c>
      <c r="Y74" s="32">
        <v>-11333</v>
      </c>
      <c r="Z74" s="32">
        <v>-11333</v>
      </c>
      <c r="AA74" s="32">
        <v>-8760</v>
      </c>
      <c r="AB74" s="32">
        <v>-8760</v>
      </c>
      <c r="AC74" s="32">
        <v>-65215</v>
      </c>
      <c r="AD74" s="32">
        <v>-65215</v>
      </c>
      <c r="AE74" s="32">
        <v>0</v>
      </c>
      <c r="AF74" s="32">
        <v>0</v>
      </c>
      <c r="AG74" s="32">
        <v>42385</v>
      </c>
      <c r="AH74" s="32">
        <v>115582</v>
      </c>
      <c r="AI74" s="32">
        <v>177849</v>
      </c>
      <c r="AJ74" s="32">
        <v>0</v>
      </c>
      <c r="AK74" s="32">
        <v>36076</v>
      </c>
      <c r="AL74" s="32">
        <v>115790</v>
      </c>
      <c r="AM74" s="32">
        <v>147656</v>
      </c>
      <c r="AN74" s="4">
        <v>0</v>
      </c>
      <c r="AO74" s="4">
        <v>30038</v>
      </c>
      <c r="AP74" s="32">
        <v>61374</v>
      </c>
      <c r="AQ74" s="32">
        <v>69132</v>
      </c>
      <c r="AR74" s="32">
        <v>0</v>
      </c>
      <c r="AS74" s="32">
        <v>2428</v>
      </c>
      <c r="AT74" s="32">
        <v>-89383</v>
      </c>
      <c r="AU74" s="32">
        <v>-197445</v>
      </c>
      <c r="AV74" s="32">
        <v>0</v>
      </c>
      <c r="AW74" s="32">
        <v>0</v>
      </c>
      <c r="AX74" s="32">
        <v>0</v>
      </c>
      <c r="AY74" s="32">
        <v>0</v>
      </c>
      <c r="AZ74" s="4">
        <v>-362284</v>
      </c>
      <c r="BA74" s="94">
        <v>-362284</v>
      </c>
      <c r="BB74" s="4">
        <v>-362284</v>
      </c>
      <c r="BC74" s="4">
        <v>-362284</v>
      </c>
      <c r="BD74" s="4">
        <v>-639336</v>
      </c>
      <c r="BE74" s="4">
        <v>-639336</v>
      </c>
      <c r="BF74" s="4">
        <v>-639336</v>
      </c>
      <c r="BG74" s="4">
        <v>-639336</v>
      </c>
      <c r="BH74" s="4">
        <v>-888069</v>
      </c>
      <c r="BI74" s="4">
        <v>-888069</v>
      </c>
      <c r="BJ74" s="4">
        <v>-888069</v>
      </c>
      <c r="BK74" s="4">
        <v>-888069</v>
      </c>
      <c r="BL74" s="4">
        <v>-1052921</v>
      </c>
      <c r="BM74" s="4">
        <v>-1052921</v>
      </c>
      <c r="BN74" s="4">
        <v>-1053660</v>
      </c>
      <c r="BO74" s="4">
        <v>-1053741</v>
      </c>
      <c r="BP74" s="4">
        <v>-1238385</v>
      </c>
      <c r="BQ74" s="4">
        <v>-1238385</v>
      </c>
      <c r="BR74" s="4">
        <v>-1238385</v>
      </c>
      <c r="BS74" s="4">
        <v>-1238385</v>
      </c>
      <c r="BT74" s="4">
        <v>-1237340</v>
      </c>
      <c r="BU74" s="4">
        <v>-1237340</v>
      </c>
      <c r="BV74" s="4">
        <v>-1237340</v>
      </c>
      <c r="BW74" s="4">
        <v>-1237340</v>
      </c>
      <c r="BX74" s="4">
        <v>-1293508</v>
      </c>
      <c r="BY74" s="4">
        <v>-1293508</v>
      </c>
      <c r="BZ74" s="4">
        <v>-1293508</v>
      </c>
      <c r="CA74" s="4">
        <v>-1293508</v>
      </c>
      <c r="CB74" s="4">
        <v>-1297906.6041600001</v>
      </c>
      <c r="CC74" s="4">
        <v>-1446319</v>
      </c>
      <c r="CD74" s="4">
        <v>-1446319</v>
      </c>
      <c r="CE74" s="4">
        <v>-1446319</v>
      </c>
      <c r="CF74" s="4">
        <v>-1446319</v>
      </c>
      <c r="CH74" s="94">
        <f t="shared" ca="1" si="164"/>
        <v>60236</v>
      </c>
      <c r="CI74" s="94">
        <f t="shared" ca="1" si="164"/>
        <v>77427</v>
      </c>
      <c r="CJ74" s="94">
        <f t="shared" ca="1" si="164"/>
        <v>0</v>
      </c>
      <c r="CK74" s="94">
        <f t="shared" ca="1" si="164"/>
        <v>51399</v>
      </c>
      <c r="CL74" s="94">
        <f t="shared" ca="1" si="164"/>
        <v>69070</v>
      </c>
      <c r="CM74" s="94">
        <f t="shared" ca="1" si="164"/>
        <v>0</v>
      </c>
      <c r="CN74" s="94">
        <f t="shared" ca="1" si="164"/>
        <v>51556</v>
      </c>
      <c r="CO74" s="94">
        <f t="shared" ca="1" si="164"/>
        <v>84156</v>
      </c>
      <c r="CP74" s="94">
        <f t="shared" ca="1" si="164"/>
        <v>78757</v>
      </c>
      <c r="CQ74" s="94">
        <f t="shared" ca="1" si="164"/>
        <v>80417</v>
      </c>
      <c r="CR74" s="94">
        <f t="shared" ca="1" si="165"/>
        <v>133784</v>
      </c>
      <c r="CS74" s="94">
        <f t="shared" ca="1" si="165"/>
        <v>0</v>
      </c>
      <c r="CT74" s="94">
        <f t="shared" ca="1" si="165"/>
        <v>127802</v>
      </c>
      <c r="CU74" s="94">
        <f t="shared" ca="1" si="165"/>
        <v>176520</v>
      </c>
      <c r="CV74" s="94">
        <f t="shared" ca="1" si="165"/>
        <v>0</v>
      </c>
      <c r="CW74" s="94">
        <f t="shared" ca="1" si="165"/>
        <v>-8760</v>
      </c>
      <c r="CX74" s="94">
        <f t="shared" ca="1" si="165"/>
        <v>-65215</v>
      </c>
      <c r="CY74" s="94">
        <f t="shared" ca="1" si="165"/>
        <v>0</v>
      </c>
      <c r="CZ74" s="94">
        <f t="shared" ca="1" si="165"/>
        <v>115582</v>
      </c>
      <c r="DA74" s="94">
        <f t="shared" ca="1" si="165"/>
        <v>177849</v>
      </c>
      <c r="DB74" s="94">
        <f t="shared" ca="1" si="166"/>
        <v>0</v>
      </c>
      <c r="DC74" s="94">
        <f t="shared" ca="1" si="166"/>
        <v>115790</v>
      </c>
      <c r="DD74" s="94">
        <f t="shared" ca="1" si="166"/>
        <v>147656</v>
      </c>
      <c r="DE74" s="94">
        <f t="shared" ca="1" si="166"/>
        <v>0</v>
      </c>
      <c r="DF74" s="94">
        <f t="shared" ca="1" si="166"/>
        <v>61374</v>
      </c>
      <c r="DG74" s="94">
        <f t="shared" ca="1" si="166"/>
        <v>69132</v>
      </c>
      <c r="DH74" s="94">
        <f t="shared" ca="1" si="166"/>
        <v>0</v>
      </c>
      <c r="DI74" s="94">
        <f t="shared" ca="1" si="166"/>
        <v>-89383</v>
      </c>
      <c r="DJ74" s="94">
        <f t="shared" ca="1" si="166"/>
        <v>-197445</v>
      </c>
      <c r="DK74" s="94">
        <f t="shared" ca="1" si="166"/>
        <v>0</v>
      </c>
      <c r="DL74" s="94">
        <f t="shared" ca="1" si="167"/>
        <v>0</v>
      </c>
      <c r="DM74" s="94">
        <f t="shared" ca="1" si="167"/>
        <v>0</v>
      </c>
      <c r="DN74" s="94">
        <f t="shared" ca="1" si="167"/>
        <v>-362284</v>
      </c>
      <c r="DO74" s="94">
        <f t="shared" ca="1" si="167"/>
        <v>-362284</v>
      </c>
      <c r="DP74" s="94">
        <f t="shared" ca="1" si="167"/>
        <v>-362284</v>
      </c>
      <c r="DQ74" s="94">
        <f t="shared" ca="1" si="167"/>
        <v>-639336</v>
      </c>
      <c r="DR74" s="94">
        <f t="shared" ca="1" si="167"/>
        <v>-639336</v>
      </c>
      <c r="DS74" s="94">
        <f t="shared" ca="1" si="167"/>
        <v>-639336</v>
      </c>
      <c r="DT74" s="94">
        <f t="shared" ca="1" si="167"/>
        <v>-888069</v>
      </c>
      <c r="DU74" s="94">
        <f t="shared" ca="1" si="167"/>
        <v>-888069</v>
      </c>
      <c r="DV74" s="94">
        <f t="shared" ca="1" si="168"/>
        <v>-888069</v>
      </c>
      <c r="DW74" s="94">
        <f t="shared" ca="1" si="168"/>
        <v>-1052921</v>
      </c>
      <c r="DX74" s="94">
        <f t="shared" ca="1" si="168"/>
        <v>-1053660</v>
      </c>
      <c r="DY74" s="94">
        <f t="shared" ca="1" si="168"/>
        <v>-1053741</v>
      </c>
      <c r="DZ74" s="94">
        <f t="shared" ca="1" si="168"/>
        <v>-1238385</v>
      </c>
      <c r="EA74" s="94">
        <f t="shared" ca="1" si="168"/>
        <v>-1238385</v>
      </c>
      <c r="EB74" s="94">
        <f t="shared" ca="1" si="168"/>
        <v>-1238385</v>
      </c>
      <c r="EC74" s="94">
        <f t="shared" ca="1" si="168"/>
        <v>-1237340</v>
      </c>
      <c r="ED74" s="94">
        <f t="shared" ca="1" si="168"/>
        <v>-1237340</v>
      </c>
      <c r="EE74" s="94">
        <f t="shared" ca="1" si="168"/>
        <v>-1237340</v>
      </c>
      <c r="EF74" s="94">
        <f t="shared" ca="1" si="169"/>
        <v>-1293508</v>
      </c>
      <c r="EG74" s="94">
        <f t="shared" ca="1" si="169"/>
        <v>-1293508</v>
      </c>
      <c r="EH74" s="94">
        <f t="shared" ca="1" si="169"/>
        <v>-1293508</v>
      </c>
      <c r="EI74" s="94">
        <f t="shared" ca="1" si="169"/>
        <v>-1297906.6041600001</v>
      </c>
      <c r="EJ74" s="94">
        <f t="shared" ca="1" si="169"/>
        <v>-1446319</v>
      </c>
      <c r="EK74" s="94">
        <f t="shared" ca="1" si="169"/>
        <v>-1446319</v>
      </c>
      <c r="EL74" s="94">
        <f t="shared" ca="1" si="169"/>
        <v>-1446319</v>
      </c>
    </row>
    <row r="75" spans="2:142" x14ac:dyDescent="0.3">
      <c r="B75" s="110" t="s">
        <v>786</v>
      </c>
      <c r="C75" s="110" t="s">
        <v>421</v>
      </c>
      <c r="D75" s="183" t="str">
        <f>IF(Menu!$D$12="PT",'Dados Financeiros'!B75,'Dados Financeiros'!C75)</f>
        <v>Lucros (Prejuízos) do período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-63433</v>
      </c>
      <c r="AX75" s="4">
        <v>-203424</v>
      </c>
      <c r="AY75" s="4">
        <v>-345443</v>
      </c>
      <c r="AZ75" s="4">
        <v>0</v>
      </c>
      <c r="BA75" s="94">
        <v>-53672</v>
      </c>
      <c r="BB75" s="4">
        <v>-139498</v>
      </c>
      <c r="BC75" s="4">
        <v>-212865</v>
      </c>
      <c r="BD75" s="4">
        <v>0</v>
      </c>
      <c r="BE75" s="4">
        <v>-2098</v>
      </c>
      <c r="BF75" s="4">
        <v>-146238</v>
      </c>
      <c r="BG75" s="4">
        <v>-198292</v>
      </c>
      <c r="BH75" s="4">
        <v>0</v>
      </c>
      <c r="BI75" s="4">
        <v>-58420</v>
      </c>
      <c r="BJ75" s="4">
        <v>-98760</v>
      </c>
      <c r="BK75" s="4">
        <v>-134153</v>
      </c>
      <c r="BL75" s="4">
        <v>0</v>
      </c>
      <c r="BM75" s="4">
        <v>-26367</v>
      </c>
      <c r="BN75" s="4">
        <v>-80755</v>
      </c>
      <c r="BO75" s="4">
        <v>-125762</v>
      </c>
      <c r="BP75" s="4">
        <v>0</v>
      </c>
      <c r="BQ75" s="4">
        <v>-7051</v>
      </c>
      <c r="BR75" s="4">
        <v>-16397</v>
      </c>
      <c r="BS75" s="4">
        <v>-14741</v>
      </c>
      <c r="BT75" s="4">
        <v>0</v>
      </c>
      <c r="BU75" s="4">
        <v>4146</v>
      </c>
      <c r="BV75" s="4">
        <v>8723</v>
      </c>
      <c r="BW75" s="4">
        <v>736</v>
      </c>
      <c r="BX75" s="4">
        <v>0</v>
      </c>
      <c r="BY75" s="4">
        <v>-20670</v>
      </c>
      <c r="BZ75" s="4">
        <v>-51978</v>
      </c>
      <c r="CA75" s="4">
        <v>-94792</v>
      </c>
      <c r="CB75" s="4">
        <v>-148412</v>
      </c>
      <c r="CC75" s="4">
        <v>-7784</v>
      </c>
      <c r="CD75" s="4">
        <v>-67146</v>
      </c>
      <c r="CE75" s="4">
        <v>-76694</v>
      </c>
      <c r="CF75" s="4">
        <v>-100661</v>
      </c>
      <c r="CH75" s="94">
        <f t="shared" ca="1" si="164"/>
        <v>0</v>
      </c>
      <c r="CI75" s="94">
        <f t="shared" ca="1" si="164"/>
        <v>0</v>
      </c>
      <c r="CJ75" s="94">
        <f t="shared" ca="1" si="164"/>
        <v>0</v>
      </c>
      <c r="CK75" s="94">
        <f t="shared" ca="1" si="164"/>
        <v>0</v>
      </c>
      <c r="CL75" s="94">
        <f t="shared" ca="1" si="164"/>
        <v>0</v>
      </c>
      <c r="CM75" s="94">
        <f t="shared" ca="1" si="164"/>
        <v>0</v>
      </c>
      <c r="CN75" s="94">
        <f t="shared" ca="1" si="164"/>
        <v>0</v>
      </c>
      <c r="CO75" s="94">
        <f t="shared" ca="1" si="164"/>
        <v>0</v>
      </c>
      <c r="CP75" s="94">
        <f t="shared" ca="1" si="164"/>
        <v>0</v>
      </c>
      <c r="CQ75" s="94">
        <f t="shared" ca="1" si="164"/>
        <v>0</v>
      </c>
      <c r="CR75" s="94">
        <f t="shared" ca="1" si="165"/>
        <v>0</v>
      </c>
      <c r="CS75" s="94">
        <f t="shared" ca="1" si="165"/>
        <v>0</v>
      </c>
      <c r="CT75" s="94">
        <f t="shared" ca="1" si="165"/>
        <v>0</v>
      </c>
      <c r="CU75" s="94">
        <f t="shared" ca="1" si="165"/>
        <v>0</v>
      </c>
      <c r="CV75" s="94">
        <f t="shared" ca="1" si="165"/>
        <v>0</v>
      </c>
      <c r="CW75" s="94">
        <f t="shared" ca="1" si="165"/>
        <v>0</v>
      </c>
      <c r="CX75" s="94">
        <f t="shared" ca="1" si="165"/>
        <v>0</v>
      </c>
      <c r="CY75" s="94">
        <f t="shared" ca="1" si="165"/>
        <v>0</v>
      </c>
      <c r="CZ75" s="94">
        <f t="shared" ca="1" si="165"/>
        <v>0</v>
      </c>
      <c r="DA75" s="94">
        <f t="shared" ca="1" si="165"/>
        <v>0</v>
      </c>
      <c r="DB75" s="94">
        <f t="shared" ca="1" si="166"/>
        <v>0</v>
      </c>
      <c r="DC75" s="94">
        <f t="shared" ca="1" si="166"/>
        <v>0</v>
      </c>
      <c r="DD75" s="94">
        <f t="shared" ca="1" si="166"/>
        <v>0</v>
      </c>
      <c r="DE75" s="94">
        <f t="shared" ca="1" si="166"/>
        <v>0</v>
      </c>
      <c r="DF75" s="94">
        <f t="shared" ca="1" si="166"/>
        <v>0</v>
      </c>
      <c r="DG75" s="94">
        <f t="shared" ca="1" si="166"/>
        <v>0</v>
      </c>
      <c r="DH75" s="94">
        <f t="shared" ca="1" si="166"/>
        <v>0</v>
      </c>
      <c r="DI75" s="94">
        <f t="shared" ca="1" si="166"/>
        <v>0</v>
      </c>
      <c r="DJ75" s="94">
        <f t="shared" ca="1" si="166"/>
        <v>0</v>
      </c>
      <c r="DK75" s="94">
        <f t="shared" ca="1" si="166"/>
        <v>0</v>
      </c>
      <c r="DL75" s="94">
        <f t="shared" ca="1" si="167"/>
        <v>-203424</v>
      </c>
      <c r="DM75" s="94">
        <f t="shared" ca="1" si="167"/>
        <v>-345443</v>
      </c>
      <c r="DN75" s="94">
        <f t="shared" ca="1" si="167"/>
        <v>0</v>
      </c>
      <c r="DO75" s="94">
        <f t="shared" ca="1" si="167"/>
        <v>-139498</v>
      </c>
      <c r="DP75" s="94">
        <f t="shared" ca="1" si="167"/>
        <v>-212865</v>
      </c>
      <c r="DQ75" s="94">
        <f t="shared" ca="1" si="167"/>
        <v>0</v>
      </c>
      <c r="DR75" s="94">
        <f t="shared" ca="1" si="167"/>
        <v>-146238</v>
      </c>
      <c r="DS75" s="94">
        <f t="shared" ca="1" si="167"/>
        <v>-198292</v>
      </c>
      <c r="DT75" s="94">
        <f t="shared" ca="1" si="167"/>
        <v>0</v>
      </c>
      <c r="DU75" s="94">
        <f t="shared" ca="1" si="167"/>
        <v>-98760</v>
      </c>
      <c r="DV75" s="94">
        <f t="shared" ca="1" si="168"/>
        <v>-134153</v>
      </c>
      <c r="DW75" s="94">
        <f t="shared" ca="1" si="168"/>
        <v>0</v>
      </c>
      <c r="DX75" s="94">
        <f t="shared" ca="1" si="168"/>
        <v>-80755</v>
      </c>
      <c r="DY75" s="94">
        <f t="shared" ca="1" si="168"/>
        <v>-125762</v>
      </c>
      <c r="DZ75" s="94">
        <f t="shared" ca="1" si="168"/>
        <v>0</v>
      </c>
      <c r="EA75" s="94">
        <f t="shared" ca="1" si="168"/>
        <v>-16397</v>
      </c>
      <c r="EB75" s="94">
        <f t="shared" ca="1" si="168"/>
        <v>-14741</v>
      </c>
      <c r="EC75" s="94">
        <f t="shared" ca="1" si="168"/>
        <v>0</v>
      </c>
      <c r="ED75" s="94">
        <f t="shared" ca="1" si="168"/>
        <v>8723</v>
      </c>
      <c r="EE75" s="94">
        <f t="shared" ca="1" si="168"/>
        <v>736</v>
      </c>
      <c r="EF75" s="94">
        <f t="shared" ca="1" si="169"/>
        <v>0</v>
      </c>
      <c r="EG75" s="94">
        <f t="shared" ca="1" si="169"/>
        <v>-51978</v>
      </c>
      <c r="EH75" s="94">
        <f t="shared" ca="1" si="169"/>
        <v>-94792</v>
      </c>
      <c r="EI75" s="94">
        <f t="shared" ca="1" si="169"/>
        <v>-148412</v>
      </c>
      <c r="EJ75" s="94">
        <f t="shared" ca="1" si="169"/>
        <v>-67146</v>
      </c>
      <c r="EK75" s="94">
        <f t="shared" ca="1" si="169"/>
        <v>-76694</v>
      </c>
      <c r="EL75" s="94">
        <f t="shared" ca="1" si="169"/>
        <v>-100661</v>
      </c>
    </row>
    <row r="76" spans="2:142" ht="14.4" thickBot="1" x14ac:dyDescent="0.35">
      <c r="B76" s="112" t="s">
        <v>65</v>
      </c>
      <c r="C76" s="112" t="s">
        <v>422</v>
      </c>
      <c r="D76" s="184" t="str">
        <f>IF(Menu!$D$12="PT",'Dados Financeiros'!B76,'Dados Financeiros'!C76)</f>
        <v>Outros</v>
      </c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>
        <v>-16104</v>
      </c>
      <c r="W76" s="36">
        <f>-17237+13631</f>
        <v>-3606</v>
      </c>
      <c r="X76" s="36">
        <v>-5874</v>
      </c>
      <c r="Y76" s="36">
        <v>-5895</v>
      </c>
      <c r="Z76" s="36">
        <v>-5895</v>
      </c>
      <c r="AA76" s="36">
        <v>-5523</v>
      </c>
      <c r="AB76" s="36">
        <v>-5523</v>
      </c>
      <c r="AC76" s="36">
        <v>-4695</v>
      </c>
      <c r="AD76" s="36">
        <v>-4695</v>
      </c>
      <c r="AE76" s="36">
        <v>-3940</v>
      </c>
      <c r="AF76" s="36">
        <v>-3940</v>
      </c>
      <c r="AG76" s="36">
        <v>-1857</v>
      </c>
      <c r="AH76" s="36">
        <v>128</v>
      </c>
      <c r="AI76" s="36">
        <v>1731</v>
      </c>
      <c r="AJ76" s="36">
        <v>-979</v>
      </c>
      <c r="AK76" s="36">
        <v>1933</v>
      </c>
      <c r="AL76" s="36">
        <v>2411</v>
      </c>
      <c r="AM76" s="36">
        <v>4823</v>
      </c>
      <c r="AN76" s="36">
        <v>724</v>
      </c>
      <c r="AO76" s="36">
        <v>5013</v>
      </c>
      <c r="AP76" s="36">
        <v>-17306</v>
      </c>
      <c r="AQ76" s="36">
        <v>12421</v>
      </c>
      <c r="AR76" s="36">
        <v>-8135</v>
      </c>
      <c r="AS76" s="36">
        <v>-17306</v>
      </c>
      <c r="AT76" s="36">
        <v>-8124</v>
      </c>
      <c r="AU76" s="36">
        <v>-10042</v>
      </c>
      <c r="AV76" s="36">
        <v>-10208</v>
      </c>
      <c r="AW76" s="36">
        <v>-11476</v>
      </c>
      <c r="AX76" s="36">
        <v>-11509</v>
      </c>
      <c r="AY76" s="36">
        <v>-11471</v>
      </c>
      <c r="AZ76" s="36">
        <v>-11471</v>
      </c>
      <c r="BA76" s="36">
        <v>-11471</v>
      </c>
      <c r="BB76" s="36">
        <v>-11471</v>
      </c>
      <c r="BC76" s="36">
        <v>-11471</v>
      </c>
      <c r="BD76" s="36">
        <v>-11471</v>
      </c>
      <c r="BE76" s="36">
        <v>-11471</v>
      </c>
      <c r="BF76" s="36">
        <v>-11471</v>
      </c>
      <c r="BG76" s="36">
        <v>-30302</v>
      </c>
      <c r="BH76" s="36">
        <v>-39682</v>
      </c>
      <c r="BI76" s="36">
        <v>-39682</v>
      </c>
      <c r="BJ76" s="36">
        <v>-39682</v>
      </c>
      <c r="BK76" s="36">
        <v>-39682</v>
      </c>
      <c r="BL76" s="36">
        <v>-39682</v>
      </c>
      <c r="BM76" s="36">
        <v>-39682</v>
      </c>
      <c r="BN76" s="36">
        <v>-39682</v>
      </c>
      <c r="BO76" s="36">
        <v>-39682</v>
      </c>
      <c r="BP76" s="36">
        <v>-39682</v>
      </c>
      <c r="BQ76" s="36">
        <v>-39682</v>
      </c>
      <c r="BR76" s="36">
        <v>-39682</v>
      </c>
      <c r="BS76" s="36">
        <v>-39682</v>
      </c>
      <c r="BT76" s="36">
        <v>-41038</v>
      </c>
      <c r="BU76" s="36">
        <v>-44045</v>
      </c>
      <c r="BV76" s="36">
        <v>-41038</v>
      </c>
      <c r="BW76" s="36">
        <v>-40283</v>
      </c>
      <c r="BX76" s="36">
        <v>-40283</v>
      </c>
      <c r="BY76" s="36">
        <v>-40283</v>
      </c>
      <c r="BZ76" s="36">
        <v>-40283</v>
      </c>
      <c r="CA76" s="36">
        <v>-40283</v>
      </c>
      <c r="CB76" s="36">
        <v>-39682.395839999997</v>
      </c>
      <c r="CC76" s="36">
        <v>-35573</v>
      </c>
      <c r="CD76" s="36">
        <v>-35573</v>
      </c>
      <c r="CE76" s="36">
        <v>-35573</v>
      </c>
      <c r="CF76" s="36">
        <v>-35573</v>
      </c>
      <c r="CH76" s="94">
        <f t="shared" ca="1" si="164"/>
        <v>0</v>
      </c>
      <c r="CI76" s="94">
        <f t="shared" ca="1" si="164"/>
        <v>0</v>
      </c>
      <c r="CJ76" s="94">
        <f t="shared" ca="1" si="164"/>
        <v>0</v>
      </c>
      <c r="CK76" s="94">
        <f t="shared" ca="1" si="164"/>
        <v>0</v>
      </c>
      <c r="CL76" s="94">
        <f t="shared" ca="1" si="164"/>
        <v>0</v>
      </c>
      <c r="CM76" s="94">
        <f t="shared" ca="1" si="164"/>
        <v>0</v>
      </c>
      <c r="CN76" s="94">
        <f t="shared" ca="1" si="164"/>
        <v>0</v>
      </c>
      <c r="CO76" s="94">
        <f t="shared" ca="1" si="164"/>
        <v>0</v>
      </c>
      <c r="CP76" s="94">
        <f t="shared" ca="1" si="164"/>
        <v>0</v>
      </c>
      <c r="CQ76" s="94">
        <f t="shared" ca="1" si="164"/>
        <v>0</v>
      </c>
      <c r="CR76" s="94">
        <f t="shared" ca="1" si="165"/>
        <v>0</v>
      </c>
      <c r="CS76" s="94">
        <f t="shared" ca="1" si="165"/>
        <v>0</v>
      </c>
      <c r="CT76" s="94">
        <f t="shared" ca="1" si="165"/>
        <v>-16104</v>
      </c>
      <c r="CU76" s="94">
        <f t="shared" ca="1" si="165"/>
        <v>-3606</v>
      </c>
      <c r="CV76" s="94">
        <f t="shared" ca="1" si="165"/>
        <v>-5874</v>
      </c>
      <c r="CW76" s="94">
        <f t="shared" ca="1" si="165"/>
        <v>-5523</v>
      </c>
      <c r="CX76" s="94">
        <f t="shared" ca="1" si="165"/>
        <v>-4695</v>
      </c>
      <c r="CY76" s="94">
        <f t="shared" ca="1" si="165"/>
        <v>-3940</v>
      </c>
      <c r="CZ76" s="94">
        <f t="shared" ca="1" si="165"/>
        <v>128</v>
      </c>
      <c r="DA76" s="94">
        <f t="shared" ca="1" si="165"/>
        <v>1731</v>
      </c>
      <c r="DB76" s="94">
        <f t="shared" ca="1" si="166"/>
        <v>-979</v>
      </c>
      <c r="DC76" s="94">
        <f t="shared" ca="1" si="166"/>
        <v>2411</v>
      </c>
      <c r="DD76" s="94">
        <f t="shared" ca="1" si="166"/>
        <v>4823</v>
      </c>
      <c r="DE76" s="94">
        <f t="shared" ca="1" si="166"/>
        <v>724</v>
      </c>
      <c r="DF76" s="94">
        <f t="shared" ca="1" si="166"/>
        <v>-17306</v>
      </c>
      <c r="DG76" s="94">
        <f t="shared" ca="1" si="166"/>
        <v>12421</v>
      </c>
      <c r="DH76" s="94">
        <f t="shared" ca="1" si="166"/>
        <v>-8135</v>
      </c>
      <c r="DI76" s="94">
        <f t="shared" ca="1" si="166"/>
        <v>-8124</v>
      </c>
      <c r="DJ76" s="94">
        <f t="shared" ca="1" si="166"/>
        <v>-10042</v>
      </c>
      <c r="DK76" s="94">
        <f t="shared" ca="1" si="166"/>
        <v>-10208</v>
      </c>
      <c r="DL76" s="94">
        <f t="shared" ca="1" si="167"/>
        <v>-11509</v>
      </c>
      <c r="DM76" s="94">
        <f t="shared" ca="1" si="167"/>
        <v>-11471</v>
      </c>
      <c r="DN76" s="94">
        <f t="shared" ca="1" si="167"/>
        <v>-11471</v>
      </c>
      <c r="DO76" s="94">
        <f t="shared" ca="1" si="167"/>
        <v>-11471</v>
      </c>
      <c r="DP76" s="94">
        <f t="shared" ca="1" si="167"/>
        <v>-11471</v>
      </c>
      <c r="DQ76" s="94">
        <f t="shared" ca="1" si="167"/>
        <v>-11471</v>
      </c>
      <c r="DR76" s="94">
        <f t="shared" ca="1" si="167"/>
        <v>-11471</v>
      </c>
      <c r="DS76" s="94">
        <f t="shared" ca="1" si="167"/>
        <v>-30302</v>
      </c>
      <c r="DT76" s="94">
        <f t="shared" ca="1" si="167"/>
        <v>-39682</v>
      </c>
      <c r="DU76" s="94">
        <f t="shared" ca="1" si="167"/>
        <v>-39682</v>
      </c>
      <c r="DV76" s="94">
        <f t="shared" ca="1" si="168"/>
        <v>-39682</v>
      </c>
      <c r="DW76" s="94">
        <f t="shared" ca="1" si="168"/>
        <v>-39682</v>
      </c>
      <c r="DX76" s="94">
        <f t="shared" ca="1" si="168"/>
        <v>-39682</v>
      </c>
      <c r="DY76" s="94">
        <f t="shared" ca="1" si="168"/>
        <v>-39682</v>
      </c>
      <c r="DZ76" s="94">
        <f t="shared" ca="1" si="168"/>
        <v>-39682</v>
      </c>
      <c r="EA76" s="94">
        <f t="shared" ca="1" si="168"/>
        <v>-39682</v>
      </c>
      <c r="EB76" s="94">
        <f t="shared" ca="1" si="168"/>
        <v>-39682</v>
      </c>
      <c r="EC76" s="94">
        <f t="shared" ca="1" si="168"/>
        <v>-41038</v>
      </c>
      <c r="ED76" s="94">
        <f t="shared" ca="1" si="168"/>
        <v>-41038</v>
      </c>
      <c r="EE76" s="94">
        <f t="shared" ca="1" si="168"/>
        <v>-40283</v>
      </c>
      <c r="EF76" s="94">
        <f t="shared" ca="1" si="169"/>
        <v>-40283</v>
      </c>
      <c r="EG76" s="94">
        <f t="shared" ca="1" si="169"/>
        <v>-40283</v>
      </c>
      <c r="EH76" s="94">
        <f t="shared" ca="1" si="169"/>
        <v>-40283</v>
      </c>
      <c r="EI76" s="94">
        <f t="shared" ca="1" si="169"/>
        <v>-39682.395839999997</v>
      </c>
      <c r="EJ76" s="94">
        <f t="shared" ca="1" si="169"/>
        <v>-35573</v>
      </c>
      <c r="EK76" s="94">
        <f t="shared" ca="1" si="169"/>
        <v>-35573</v>
      </c>
      <c r="EL76" s="94">
        <f t="shared" ca="1" si="169"/>
        <v>-35573</v>
      </c>
    </row>
    <row r="77" spans="2:142" x14ac:dyDescent="0.3">
      <c r="B77" s="12"/>
      <c r="C77" s="113"/>
      <c r="D77" s="186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</row>
    <row r="78" spans="2:142" ht="14.4" thickBot="1" x14ac:dyDescent="0.35">
      <c r="B78" s="51" t="s">
        <v>64</v>
      </c>
      <c r="C78" s="51" t="s">
        <v>423</v>
      </c>
      <c r="D78" s="189" t="str">
        <f>IF(Menu!$D$12="PT",'Dados Financeiros'!B78,'Dados Financeiros'!C78)</f>
        <v>Total do passivo e PL</v>
      </c>
      <c r="E78" s="50">
        <f t="shared" ref="E78:AJ78" si="170">E70+E68+E57+E40</f>
        <v>1096514</v>
      </c>
      <c r="F78" s="50">
        <f t="shared" si="170"/>
        <v>1000575</v>
      </c>
      <c r="G78" s="50">
        <f t="shared" si="170"/>
        <v>1058025</v>
      </c>
      <c r="H78" s="50">
        <f t="shared" si="170"/>
        <v>1121938</v>
      </c>
      <c r="I78" s="50">
        <f t="shared" si="170"/>
        <v>1210697</v>
      </c>
      <c r="J78" s="50">
        <f t="shared" si="170"/>
        <v>1318539</v>
      </c>
      <c r="K78" s="50">
        <f t="shared" si="170"/>
        <v>1381055</v>
      </c>
      <c r="L78" s="50">
        <f t="shared" si="170"/>
        <v>1455345</v>
      </c>
      <c r="M78" s="50">
        <f t="shared" si="170"/>
        <v>1574661</v>
      </c>
      <c r="N78" s="50">
        <f t="shared" si="170"/>
        <v>1635990</v>
      </c>
      <c r="O78" s="50">
        <f t="shared" si="170"/>
        <v>1752067</v>
      </c>
      <c r="P78" s="50">
        <f t="shared" si="170"/>
        <v>2248435</v>
      </c>
      <c r="Q78" s="50">
        <f t="shared" si="170"/>
        <v>2367684</v>
      </c>
      <c r="R78" s="50">
        <f t="shared" si="170"/>
        <v>2526374</v>
      </c>
      <c r="S78" s="50">
        <f t="shared" si="170"/>
        <v>2985618</v>
      </c>
      <c r="T78" s="50">
        <f t="shared" si="170"/>
        <v>3135070</v>
      </c>
      <c r="U78" s="50">
        <f t="shared" si="170"/>
        <v>3647665</v>
      </c>
      <c r="V78" s="50">
        <f t="shared" si="170"/>
        <v>3560326</v>
      </c>
      <c r="W78" s="50">
        <f t="shared" si="170"/>
        <v>3906550</v>
      </c>
      <c r="X78" s="50">
        <f t="shared" si="170"/>
        <v>3943761</v>
      </c>
      <c r="Y78" s="50">
        <f t="shared" si="170"/>
        <v>3995193</v>
      </c>
      <c r="Z78" s="50">
        <f t="shared" si="170"/>
        <v>3729490</v>
      </c>
      <c r="AA78" s="50">
        <f t="shared" si="170"/>
        <v>4108591</v>
      </c>
      <c r="AB78" s="50">
        <f t="shared" si="170"/>
        <v>3855099</v>
      </c>
      <c r="AC78" s="50">
        <f t="shared" si="170"/>
        <v>4185149</v>
      </c>
      <c r="AD78" s="50">
        <f t="shared" si="170"/>
        <v>3966672</v>
      </c>
      <c r="AE78" s="50">
        <f t="shared" si="170"/>
        <v>4167991</v>
      </c>
      <c r="AF78" s="50">
        <f t="shared" si="170"/>
        <v>3962095</v>
      </c>
      <c r="AG78" s="50">
        <f t="shared" si="170"/>
        <v>4336045</v>
      </c>
      <c r="AH78" s="50">
        <f t="shared" si="170"/>
        <v>4566611</v>
      </c>
      <c r="AI78" s="50">
        <f t="shared" si="170"/>
        <v>4723358</v>
      </c>
      <c r="AJ78" s="50">
        <f t="shared" si="170"/>
        <v>4690095</v>
      </c>
      <c r="AK78" s="50">
        <f t="shared" ref="AK78:BC78" si="171">AK70+AK68+AK57+AK40</f>
        <v>4908595</v>
      </c>
      <c r="AL78" s="50">
        <f t="shared" si="171"/>
        <v>5070961</v>
      </c>
      <c r="AM78" s="50">
        <f t="shared" si="171"/>
        <v>4932775</v>
      </c>
      <c r="AN78" s="50">
        <f t="shared" si="171"/>
        <v>4798379</v>
      </c>
      <c r="AO78" s="50">
        <f t="shared" si="171"/>
        <v>4879194</v>
      </c>
      <c r="AP78" s="50">
        <f t="shared" si="171"/>
        <v>4754103</v>
      </c>
      <c r="AQ78" s="50">
        <f t="shared" si="171"/>
        <v>4635420</v>
      </c>
      <c r="AR78" s="50">
        <f t="shared" si="171"/>
        <v>3712812</v>
      </c>
      <c r="AS78" s="50">
        <f t="shared" si="171"/>
        <v>3670805</v>
      </c>
      <c r="AT78" s="50">
        <f t="shared" si="171"/>
        <v>3613335</v>
      </c>
      <c r="AU78" s="50">
        <f t="shared" si="171"/>
        <v>3508156</v>
      </c>
      <c r="AV78" s="50">
        <f t="shared" si="171"/>
        <v>3128240</v>
      </c>
      <c r="AW78" s="50">
        <f t="shared" si="171"/>
        <v>2941591</v>
      </c>
      <c r="AX78" s="50">
        <f t="shared" si="171"/>
        <v>2744894</v>
      </c>
      <c r="AY78" s="50">
        <f t="shared" si="171"/>
        <v>2555619</v>
      </c>
      <c r="AZ78" s="50">
        <f t="shared" si="171"/>
        <v>2319137</v>
      </c>
      <c r="BA78" s="50">
        <f t="shared" si="171"/>
        <v>2240189</v>
      </c>
      <c r="BB78" s="50">
        <f t="shared" ref="BB78" si="172">BB70+BB68+BB57+BB40</f>
        <v>2160893</v>
      </c>
      <c r="BC78" s="50">
        <f t="shared" si="171"/>
        <v>2042402</v>
      </c>
      <c r="BD78" s="50">
        <f t="shared" ref="BD78:BE78" si="173">BD70+BD68+BD57+BD40</f>
        <v>1936500</v>
      </c>
      <c r="BE78" s="50">
        <f t="shared" si="173"/>
        <v>1864731</v>
      </c>
      <c r="BF78" s="50">
        <f t="shared" ref="BF78:BG78" si="174">BF70+BF68+BF57+BF40</f>
        <v>1694354</v>
      </c>
      <c r="BG78" s="50">
        <f t="shared" si="174"/>
        <v>1893360</v>
      </c>
      <c r="BH78" s="50">
        <f t="shared" ref="BH78:BN78" si="175">BH70+BH68+BH57+BH40</f>
        <v>1718538</v>
      </c>
      <c r="BI78" s="50">
        <f t="shared" si="175"/>
        <v>1617758</v>
      </c>
      <c r="BJ78" s="50">
        <f>BJ70+BJ68+BJ57+BJ40</f>
        <v>1621863</v>
      </c>
      <c r="BK78" s="50">
        <f t="shared" si="175"/>
        <v>1689063</v>
      </c>
      <c r="BL78" s="50">
        <f t="shared" si="175"/>
        <v>1743807</v>
      </c>
      <c r="BM78" s="50">
        <f t="shared" si="175"/>
        <v>1765197</v>
      </c>
      <c r="BN78" s="50">
        <f t="shared" si="175"/>
        <v>1598141</v>
      </c>
      <c r="BO78" s="50">
        <v>1564345</v>
      </c>
      <c r="BP78" s="50">
        <f t="shared" ref="BP78" si="176">BP70+BP68+BP57+BP40</f>
        <v>1556408</v>
      </c>
      <c r="BQ78" s="50">
        <v>1563632</v>
      </c>
      <c r="BR78" s="50">
        <f t="shared" ref="BR78:BW78" si="177">BR70+BR68+BR57+BR40</f>
        <v>1538453</v>
      </c>
      <c r="BS78" s="50">
        <f t="shared" si="177"/>
        <v>1545028</v>
      </c>
      <c r="BT78" s="50">
        <f t="shared" si="177"/>
        <v>1607828</v>
      </c>
      <c r="BU78" s="50">
        <f t="shared" si="177"/>
        <v>1561413</v>
      </c>
      <c r="BV78" s="50">
        <f t="shared" si="177"/>
        <v>1567755</v>
      </c>
      <c r="BW78" s="50">
        <f t="shared" si="177"/>
        <v>1550292</v>
      </c>
      <c r="BX78" s="50">
        <f t="shared" ref="BX78:BY78" si="178">BX70+BX68+BX57+BX40</f>
        <v>1527112</v>
      </c>
      <c r="BY78" s="50">
        <f t="shared" si="178"/>
        <v>1586572</v>
      </c>
      <c r="BZ78" s="50">
        <f t="shared" ref="BZ78:CB78" si="179">BZ70+BZ68+BZ57+BZ40</f>
        <v>1526075</v>
      </c>
      <c r="CA78" s="50">
        <f t="shared" si="179"/>
        <v>1450086</v>
      </c>
      <c r="CB78" s="50">
        <f t="shared" si="179"/>
        <v>1339070</v>
      </c>
      <c r="CC78" s="50">
        <f t="shared" ref="CC78:CD78" si="180">CC70+CC68+CC57+CC40</f>
        <v>1255109</v>
      </c>
      <c r="CD78" s="50">
        <f t="shared" si="180"/>
        <v>1147146</v>
      </c>
      <c r="CE78" s="50">
        <f t="shared" ref="CE78:CF78" si="181">CE70+CE68+CE57+CE40</f>
        <v>1099015</v>
      </c>
      <c r="CF78" s="50">
        <f t="shared" si="181"/>
        <v>1197783</v>
      </c>
      <c r="CH78" s="50">
        <f t="shared" ref="CH78:DR78" ca="1" si="182">CH70+CH68+CH57+CH40</f>
        <v>1000575</v>
      </c>
      <c r="CI78" s="50">
        <f t="shared" ca="1" si="182"/>
        <v>1058025</v>
      </c>
      <c r="CJ78" s="50">
        <f t="shared" ca="1" si="182"/>
        <v>1121938</v>
      </c>
      <c r="CK78" s="50">
        <f t="shared" ca="1" si="182"/>
        <v>1318539</v>
      </c>
      <c r="CL78" s="50">
        <f t="shared" ca="1" si="182"/>
        <v>1381055</v>
      </c>
      <c r="CM78" s="50">
        <f t="shared" ca="1" si="182"/>
        <v>1455345</v>
      </c>
      <c r="CN78" s="50">
        <f t="shared" ca="1" si="182"/>
        <v>1635990</v>
      </c>
      <c r="CO78" s="50">
        <f t="shared" ca="1" si="182"/>
        <v>1752067</v>
      </c>
      <c r="CP78" s="50">
        <f t="shared" ca="1" si="182"/>
        <v>2248435</v>
      </c>
      <c r="CQ78" s="50">
        <f t="shared" ca="1" si="182"/>
        <v>2526374</v>
      </c>
      <c r="CR78" s="50">
        <f t="shared" ca="1" si="182"/>
        <v>2985618</v>
      </c>
      <c r="CS78" s="50">
        <f t="shared" ca="1" si="182"/>
        <v>3135070</v>
      </c>
      <c r="CT78" s="50">
        <f t="shared" ca="1" si="182"/>
        <v>3560326</v>
      </c>
      <c r="CU78" s="50">
        <f t="shared" ca="1" si="182"/>
        <v>3906550</v>
      </c>
      <c r="CV78" s="50">
        <f t="shared" ca="1" si="182"/>
        <v>3943761</v>
      </c>
      <c r="CW78" s="50">
        <f t="shared" ca="1" si="182"/>
        <v>3855099</v>
      </c>
      <c r="CX78" s="50">
        <f t="shared" ca="1" si="182"/>
        <v>3966672</v>
      </c>
      <c r="CY78" s="50">
        <f t="shared" ca="1" si="182"/>
        <v>3962095</v>
      </c>
      <c r="CZ78" s="50">
        <f t="shared" ca="1" si="182"/>
        <v>4566611</v>
      </c>
      <c r="DA78" s="50">
        <f t="shared" ca="1" si="182"/>
        <v>4723358</v>
      </c>
      <c r="DB78" s="50">
        <f t="shared" ca="1" si="182"/>
        <v>4690095</v>
      </c>
      <c r="DC78" s="50">
        <f t="shared" ca="1" si="182"/>
        <v>5070961</v>
      </c>
      <c r="DD78" s="50">
        <f t="shared" ca="1" si="182"/>
        <v>4932775</v>
      </c>
      <c r="DE78" s="50">
        <f t="shared" ca="1" si="182"/>
        <v>4798379</v>
      </c>
      <c r="DF78" s="50">
        <f t="shared" ca="1" si="182"/>
        <v>4754103</v>
      </c>
      <c r="DG78" s="50">
        <f t="shared" ca="1" si="182"/>
        <v>4635420</v>
      </c>
      <c r="DH78" s="50">
        <f t="shared" ca="1" si="182"/>
        <v>3712812</v>
      </c>
      <c r="DI78" s="50">
        <f t="shared" ca="1" si="182"/>
        <v>3613335</v>
      </c>
      <c r="DJ78" s="50">
        <f t="shared" ca="1" si="182"/>
        <v>3508156</v>
      </c>
      <c r="DK78" s="50">
        <f t="shared" ca="1" si="182"/>
        <v>3128240</v>
      </c>
      <c r="DL78" s="50">
        <f t="shared" ca="1" si="182"/>
        <v>2744894</v>
      </c>
      <c r="DM78" s="50">
        <f t="shared" ca="1" si="182"/>
        <v>2555619</v>
      </c>
      <c r="DN78" s="50">
        <f t="shared" ca="1" si="182"/>
        <v>2319137</v>
      </c>
      <c r="DO78" s="50">
        <f t="shared" ca="1" si="182"/>
        <v>2160893</v>
      </c>
      <c r="DP78" s="50">
        <f t="shared" ca="1" si="182"/>
        <v>2042402</v>
      </c>
      <c r="DQ78" s="50">
        <f t="shared" ca="1" si="182"/>
        <v>1936500</v>
      </c>
      <c r="DR78" s="50">
        <f t="shared" ca="1" si="182"/>
        <v>1694354</v>
      </c>
      <c r="DS78" s="50">
        <f t="shared" ref="DS78:DT78" ca="1" si="183">DS70+DS68+DS57+DS40</f>
        <v>1893360</v>
      </c>
      <c r="DT78" s="50">
        <f t="shared" ca="1" si="183"/>
        <v>1718538</v>
      </c>
      <c r="DU78" s="50">
        <v>1621863</v>
      </c>
      <c r="DV78" s="50">
        <f t="shared" ref="DV78:EB78" ca="1" si="184">DV70+DV68+DV57+DV40</f>
        <v>1689063</v>
      </c>
      <c r="DW78" s="50">
        <f t="shared" ca="1" si="184"/>
        <v>1743807</v>
      </c>
      <c r="DX78" s="50">
        <f t="shared" ca="1" si="184"/>
        <v>1598141</v>
      </c>
      <c r="DY78" s="50">
        <f>BO78</f>
        <v>1564345</v>
      </c>
      <c r="DZ78" s="50">
        <f t="shared" ca="1" si="184"/>
        <v>1556408</v>
      </c>
      <c r="EA78" s="50">
        <f t="shared" ca="1" si="184"/>
        <v>1538453</v>
      </c>
      <c r="EB78" s="50">
        <f t="shared" ca="1" si="184"/>
        <v>1545028</v>
      </c>
      <c r="EC78" s="50">
        <f t="shared" ref="EC78:EF78" ca="1" si="185">EC70+EC68+EC57+EC40</f>
        <v>1607828</v>
      </c>
      <c r="ED78" s="50">
        <f t="shared" ca="1" si="185"/>
        <v>1567755</v>
      </c>
      <c r="EE78" s="50">
        <f t="shared" ca="1" si="185"/>
        <v>1550292</v>
      </c>
      <c r="EF78" s="50">
        <f t="shared" ca="1" si="185"/>
        <v>1527112</v>
      </c>
      <c r="EG78" s="50">
        <f t="shared" ref="EG78:EH78" ca="1" si="186">EG70+EG68+EG57+EG40</f>
        <v>1526075</v>
      </c>
      <c r="EH78" s="50">
        <f t="shared" ca="1" si="186"/>
        <v>1450086</v>
      </c>
      <c r="EI78" s="50">
        <f t="shared" ref="EI78:EK78" ca="1" si="187">EI70+EI68+EI57+EI40</f>
        <v>1339070</v>
      </c>
      <c r="EJ78" s="50">
        <f t="shared" ca="1" si="187"/>
        <v>1147146</v>
      </c>
      <c r="EK78" s="50">
        <f t="shared" ca="1" si="187"/>
        <v>1099015</v>
      </c>
      <c r="EL78" s="50">
        <f t="shared" ref="EL78" ca="1" si="188">EL70+EL68+EL57+EL40</f>
        <v>1197783</v>
      </c>
    </row>
    <row r="79" spans="2:142" ht="14.4" thickTop="1" x14ac:dyDescent="0.3">
      <c r="B79" s="30"/>
      <c r="C79" s="114"/>
      <c r="D79" s="190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H79" s="29"/>
      <c r="CI79" s="29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9"/>
      <c r="EK79" s="29"/>
      <c r="EL79" s="29"/>
    </row>
    <row r="80" spans="2:142" ht="14.4" thickBot="1" x14ac:dyDescent="0.35">
      <c r="B80" s="30"/>
      <c r="C80" s="114"/>
      <c r="D80" s="190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</row>
    <row r="81" spans="1:142" ht="14.4" thickBot="1" x14ac:dyDescent="0.35">
      <c r="B81" s="105" t="s">
        <v>63</v>
      </c>
      <c r="C81" s="105"/>
      <c r="D81" s="219" t="str">
        <f>IF(Menu!$D$12="PT",'Dados Financeiros'!B81,'Dados Financeiros'!C81)</f>
        <v>Check Ativo vs Passivo</v>
      </c>
      <c r="E81" s="106">
        <f t="shared" ref="E81:AJ81" si="189">E36-E78</f>
        <v>0</v>
      </c>
      <c r="F81" s="106">
        <f t="shared" si="189"/>
        <v>0</v>
      </c>
      <c r="G81" s="106">
        <f t="shared" si="189"/>
        <v>0</v>
      </c>
      <c r="H81" s="106">
        <f t="shared" si="189"/>
        <v>0</v>
      </c>
      <c r="I81" s="106">
        <f t="shared" si="189"/>
        <v>0</v>
      </c>
      <c r="J81" s="106">
        <f t="shared" si="189"/>
        <v>0</v>
      </c>
      <c r="K81" s="106">
        <f t="shared" si="189"/>
        <v>0</v>
      </c>
      <c r="L81" s="106">
        <f t="shared" si="189"/>
        <v>0</v>
      </c>
      <c r="M81" s="106">
        <f t="shared" si="189"/>
        <v>0</v>
      </c>
      <c r="N81" s="106">
        <f t="shared" si="189"/>
        <v>0</v>
      </c>
      <c r="O81" s="106">
        <f t="shared" si="189"/>
        <v>0</v>
      </c>
      <c r="P81" s="106">
        <f t="shared" si="189"/>
        <v>0</v>
      </c>
      <c r="Q81" s="106">
        <f t="shared" si="189"/>
        <v>0</v>
      </c>
      <c r="R81" s="106">
        <f t="shared" si="189"/>
        <v>0</v>
      </c>
      <c r="S81" s="106">
        <f t="shared" si="189"/>
        <v>0</v>
      </c>
      <c r="T81" s="106">
        <f t="shared" si="189"/>
        <v>0</v>
      </c>
      <c r="U81" s="106">
        <f t="shared" si="189"/>
        <v>0</v>
      </c>
      <c r="V81" s="106">
        <f t="shared" si="189"/>
        <v>0</v>
      </c>
      <c r="W81" s="106">
        <f t="shared" si="189"/>
        <v>0</v>
      </c>
      <c r="X81" s="106">
        <f t="shared" si="189"/>
        <v>0</v>
      </c>
      <c r="Y81" s="106">
        <f t="shared" si="189"/>
        <v>0</v>
      </c>
      <c r="Z81" s="106">
        <f t="shared" si="189"/>
        <v>0</v>
      </c>
      <c r="AA81" s="106">
        <f t="shared" si="189"/>
        <v>0</v>
      </c>
      <c r="AB81" s="106">
        <f t="shared" si="189"/>
        <v>0</v>
      </c>
      <c r="AC81" s="106">
        <f t="shared" si="189"/>
        <v>0</v>
      </c>
      <c r="AD81" s="106">
        <f t="shared" si="189"/>
        <v>0</v>
      </c>
      <c r="AE81" s="106">
        <f t="shared" si="189"/>
        <v>0</v>
      </c>
      <c r="AF81" s="106">
        <f t="shared" si="189"/>
        <v>0</v>
      </c>
      <c r="AG81" s="106">
        <f t="shared" si="189"/>
        <v>0</v>
      </c>
      <c r="AH81" s="106">
        <f t="shared" si="189"/>
        <v>0</v>
      </c>
      <c r="AI81" s="106">
        <f t="shared" si="189"/>
        <v>0</v>
      </c>
      <c r="AJ81" s="106">
        <f t="shared" si="189"/>
        <v>0</v>
      </c>
      <c r="AK81" s="106">
        <f t="shared" ref="AK81:BC81" si="190">AK36-AK78</f>
        <v>0</v>
      </c>
      <c r="AL81" s="106">
        <f t="shared" si="190"/>
        <v>0</v>
      </c>
      <c r="AM81" s="106">
        <f t="shared" si="190"/>
        <v>0</v>
      </c>
      <c r="AN81" s="106">
        <f t="shared" si="190"/>
        <v>0</v>
      </c>
      <c r="AO81" s="106">
        <f t="shared" si="190"/>
        <v>0</v>
      </c>
      <c r="AP81" s="106">
        <f t="shared" si="190"/>
        <v>0</v>
      </c>
      <c r="AQ81" s="106">
        <f t="shared" si="190"/>
        <v>1</v>
      </c>
      <c r="AR81" s="106">
        <f t="shared" si="190"/>
        <v>0</v>
      </c>
      <c r="AS81" s="106">
        <f t="shared" si="190"/>
        <v>0</v>
      </c>
      <c r="AT81" s="106">
        <f t="shared" si="190"/>
        <v>0</v>
      </c>
      <c r="AU81" s="106">
        <f t="shared" si="190"/>
        <v>0</v>
      </c>
      <c r="AV81" s="106">
        <f t="shared" si="190"/>
        <v>0</v>
      </c>
      <c r="AW81" s="106">
        <f t="shared" si="190"/>
        <v>0</v>
      </c>
      <c r="AX81" s="106">
        <f t="shared" si="190"/>
        <v>0</v>
      </c>
      <c r="AY81" s="106">
        <f t="shared" si="190"/>
        <v>0</v>
      </c>
      <c r="AZ81" s="106">
        <f t="shared" si="190"/>
        <v>0</v>
      </c>
      <c r="BA81" s="106">
        <f t="shared" si="190"/>
        <v>0</v>
      </c>
      <c r="BB81" s="106">
        <f t="shared" ref="BB81" si="191">BB36-BB78</f>
        <v>0</v>
      </c>
      <c r="BC81" s="106">
        <f t="shared" si="190"/>
        <v>0</v>
      </c>
      <c r="BD81" s="106">
        <f t="shared" ref="BD81:BE81" si="192">BD36-BD78</f>
        <v>0</v>
      </c>
      <c r="BE81" s="106">
        <f t="shared" si="192"/>
        <v>0</v>
      </c>
      <c r="BF81" s="106">
        <f t="shared" ref="BF81:BG81" si="193">BF36-BF78</f>
        <v>0</v>
      </c>
      <c r="BG81" s="106">
        <f t="shared" si="193"/>
        <v>0</v>
      </c>
      <c r="BH81" s="106">
        <f t="shared" ref="BH81:BM81" si="194">BH36-BH78</f>
        <v>0</v>
      </c>
      <c r="BI81" s="106">
        <f t="shared" si="194"/>
        <v>0</v>
      </c>
      <c r="BJ81" s="106">
        <f t="shared" si="194"/>
        <v>0</v>
      </c>
      <c r="BK81" s="106">
        <f t="shared" si="194"/>
        <v>0</v>
      </c>
      <c r="BL81" s="106">
        <f t="shared" si="194"/>
        <v>0</v>
      </c>
      <c r="BM81" s="106">
        <f t="shared" si="194"/>
        <v>0</v>
      </c>
      <c r="BN81" s="106">
        <v>0</v>
      </c>
      <c r="BO81" s="106">
        <v>0</v>
      </c>
      <c r="BP81" s="106">
        <f>BP36-BP78</f>
        <v>0</v>
      </c>
      <c r="BQ81" s="106">
        <f>BQ36-BQ78</f>
        <v>0</v>
      </c>
      <c r="BR81" s="106">
        <f>BR36-BR78</f>
        <v>0</v>
      </c>
      <c r="BS81" s="106">
        <f>CG36-CG78</f>
        <v>0</v>
      </c>
      <c r="BT81" s="106">
        <f t="shared" ref="BT81:BY81" si="195">BT36-BT78</f>
        <v>0</v>
      </c>
      <c r="BU81" s="106">
        <f t="shared" si="195"/>
        <v>0</v>
      </c>
      <c r="BV81" s="106">
        <f t="shared" si="195"/>
        <v>0</v>
      </c>
      <c r="BW81" s="106">
        <f t="shared" si="195"/>
        <v>0</v>
      </c>
      <c r="BX81" s="106">
        <f t="shared" si="195"/>
        <v>0</v>
      </c>
      <c r="BY81" s="106">
        <f t="shared" si="195"/>
        <v>0</v>
      </c>
      <c r="BZ81" s="106">
        <f t="shared" ref="BZ81:CB81" si="196">BZ36-BZ78</f>
        <v>0</v>
      </c>
      <c r="CA81" s="106">
        <f t="shared" si="196"/>
        <v>0</v>
      </c>
      <c r="CB81" s="106">
        <f t="shared" si="196"/>
        <v>0</v>
      </c>
      <c r="CC81" s="106">
        <f t="shared" ref="CC81:CD81" si="197">CC36-CC78</f>
        <v>0</v>
      </c>
      <c r="CD81" s="106">
        <f t="shared" si="197"/>
        <v>0</v>
      </c>
      <c r="CE81" s="106">
        <f t="shared" ref="CE81" si="198">CE36-CE78</f>
        <v>0</v>
      </c>
      <c r="CF81" s="106">
        <f>CF36-CF78</f>
        <v>0</v>
      </c>
      <c r="CH81" s="106">
        <f t="shared" ref="CH81:DR81" ca="1" si="199">CH36-CH78</f>
        <v>0</v>
      </c>
      <c r="CI81" s="106">
        <f t="shared" ca="1" si="199"/>
        <v>0</v>
      </c>
      <c r="CJ81" s="106">
        <f t="shared" ca="1" si="199"/>
        <v>0</v>
      </c>
      <c r="CK81" s="106">
        <f t="shared" ca="1" si="199"/>
        <v>0</v>
      </c>
      <c r="CL81" s="106">
        <f t="shared" ca="1" si="199"/>
        <v>0</v>
      </c>
      <c r="CM81" s="106">
        <f t="shared" ca="1" si="199"/>
        <v>0</v>
      </c>
      <c r="CN81" s="106">
        <f t="shared" ca="1" si="199"/>
        <v>0</v>
      </c>
      <c r="CO81" s="106">
        <f t="shared" ca="1" si="199"/>
        <v>0</v>
      </c>
      <c r="CP81" s="106">
        <f t="shared" ca="1" si="199"/>
        <v>0</v>
      </c>
      <c r="CQ81" s="106">
        <f t="shared" ca="1" si="199"/>
        <v>0</v>
      </c>
      <c r="CR81" s="106">
        <f t="shared" ca="1" si="199"/>
        <v>0</v>
      </c>
      <c r="CS81" s="106">
        <f t="shared" ca="1" si="199"/>
        <v>0</v>
      </c>
      <c r="CT81" s="106">
        <f t="shared" ca="1" si="199"/>
        <v>0</v>
      </c>
      <c r="CU81" s="106">
        <f t="shared" ca="1" si="199"/>
        <v>0</v>
      </c>
      <c r="CV81" s="106">
        <f t="shared" ca="1" si="199"/>
        <v>0</v>
      </c>
      <c r="CW81" s="106">
        <f t="shared" ca="1" si="199"/>
        <v>0</v>
      </c>
      <c r="CX81" s="106">
        <f t="shared" ca="1" si="199"/>
        <v>0</v>
      </c>
      <c r="CY81" s="106">
        <f t="shared" ca="1" si="199"/>
        <v>0</v>
      </c>
      <c r="CZ81" s="106">
        <f t="shared" ca="1" si="199"/>
        <v>0</v>
      </c>
      <c r="DA81" s="106">
        <f t="shared" ca="1" si="199"/>
        <v>0</v>
      </c>
      <c r="DB81" s="106">
        <f t="shared" ca="1" si="199"/>
        <v>0</v>
      </c>
      <c r="DC81" s="106">
        <f t="shared" ca="1" si="199"/>
        <v>0</v>
      </c>
      <c r="DD81" s="106">
        <f t="shared" ca="1" si="199"/>
        <v>0</v>
      </c>
      <c r="DE81" s="106">
        <f t="shared" ca="1" si="199"/>
        <v>0</v>
      </c>
      <c r="DF81" s="106">
        <f t="shared" ca="1" si="199"/>
        <v>0</v>
      </c>
      <c r="DG81" s="206">
        <f t="shared" ca="1" si="199"/>
        <v>1</v>
      </c>
      <c r="DH81" s="106">
        <f t="shared" ca="1" si="199"/>
        <v>0</v>
      </c>
      <c r="DI81" s="106">
        <f t="shared" ca="1" si="199"/>
        <v>0</v>
      </c>
      <c r="DJ81" s="106">
        <f t="shared" ca="1" si="199"/>
        <v>0</v>
      </c>
      <c r="DK81" s="106">
        <f t="shared" ca="1" si="199"/>
        <v>0</v>
      </c>
      <c r="DL81" s="106">
        <f t="shared" ca="1" si="199"/>
        <v>0</v>
      </c>
      <c r="DM81" s="106">
        <f t="shared" ca="1" si="199"/>
        <v>0</v>
      </c>
      <c r="DN81" s="106">
        <f t="shared" ca="1" si="199"/>
        <v>0</v>
      </c>
      <c r="DO81" s="106">
        <f t="shared" ca="1" si="199"/>
        <v>0</v>
      </c>
      <c r="DP81" s="106">
        <f t="shared" ca="1" si="199"/>
        <v>0</v>
      </c>
      <c r="DQ81" s="106">
        <f t="shared" ca="1" si="199"/>
        <v>0</v>
      </c>
      <c r="DR81" s="106">
        <f t="shared" ca="1" si="199"/>
        <v>0</v>
      </c>
      <c r="DS81" s="106">
        <f t="shared" ref="DS81:DV81" ca="1" si="200">DS36-DS78</f>
        <v>0</v>
      </c>
      <c r="DT81" s="106">
        <f t="shared" ca="1" si="200"/>
        <v>0</v>
      </c>
      <c r="DU81" s="106">
        <f t="shared" ca="1" si="200"/>
        <v>0</v>
      </c>
      <c r="DV81" s="106">
        <f t="shared" ca="1" si="200"/>
        <v>0</v>
      </c>
      <c r="DW81" s="106"/>
      <c r="DX81" s="106">
        <f t="shared" ref="DX81:EB81" ca="1" si="201">DX36-DX78</f>
        <v>0</v>
      </c>
      <c r="DY81" s="106">
        <f t="shared" ca="1" si="201"/>
        <v>0</v>
      </c>
      <c r="DZ81" s="106">
        <f t="shared" ca="1" si="201"/>
        <v>0</v>
      </c>
      <c r="EA81" s="106">
        <f t="shared" ca="1" si="201"/>
        <v>0</v>
      </c>
      <c r="EB81" s="106">
        <f t="shared" ca="1" si="201"/>
        <v>0</v>
      </c>
      <c r="EC81" s="106">
        <f t="shared" ref="EC81:EF81" ca="1" si="202">EC36-EC78</f>
        <v>0</v>
      </c>
      <c r="ED81" s="106">
        <f t="shared" ca="1" si="202"/>
        <v>0</v>
      </c>
      <c r="EE81" s="106">
        <f t="shared" ca="1" si="202"/>
        <v>0</v>
      </c>
      <c r="EF81" s="106">
        <f t="shared" ca="1" si="202"/>
        <v>0</v>
      </c>
      <c r="EG81" s="106">
        <f t="shared" ref="EG81:EH81" ca="1" si="203">EG36-EG78</f>
        <v>0</v>
      </c>
      <c r="EH81" s="106">
        <f t="shared" ca="1" si="203"/>
        <v>0</v>
      </c>
      <c r="EI81" s="106">
        <f t="shared" ref="EI81:EK81" ca="1" si="204">EI36-EI78</f>
        <v>0</v>
      </c>
      <c r="EJ81" s="106">
        <f t="shared" ca="1" si="204"/>
        <v>0</v>
      </c>
      <c r="EK81" s="106">
        <f t="shared" ca="1" si="204"/>
        <v>0</v>
      </c>
      <c r="EL81" s="106">
        <f t="shared" ref="EL81" ca="1" si="205">EL36-EL78</f>
        <v>-113276</v>
      </c>
    </row>
    <row r="82" spans="1:142" x14ac:dyDescent="0.3">
      <c r="B82" s="30"/>
      <c r="C82" s="114"/>
      <c r="D82" s="190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</row>
    <row r="83" spans="1:142" x14ac:dyDescent="0.3">
      <c r="B83" s="30"/>
      <c r="C83" s="114"/>
      <c r="D83" s="190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</row>
    <row r="84" spans="1:142" s="26" customFormat="1" ht="16.2" thickBot="1" x14ac:dyDescent="0.35">
      <c r="A84" s="85"/>
      <c r="B84" s="154" t="s">
        <v>62</v>
      </c>
      <c r="C84" s="154" t="s">
        <v>424</v>
      </c>
      <c r="D84" s="155" t="str">
        <f>IF(Menu!$D$12="PT",'Dados Financeiros'!B84,'Dados Financeiros'!C84)</f>
        <v>DRE Consolidado</v>
      </c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5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  <c r="AY84" s="155"/>
      <c r="AZ84" s="155"/>
      <c r="BA84" s="155"/>
      <c r="BB84" s="155"/>
      <c r="BC84" s="155"/>
      <c r="BD84" s="155"/>
      <c r="BE84" s="155"/>
      <c r="BF84" s="155"/>
      <c r="BG84" s="155"/>
      <c r="BH84" s="155"/>
      <c r="BI84" s="155"/>
      <c r="BJ84" s="155"/>
      <c r="BK84" s="155"/>
      <c r="BL84" s="155"/>
      <c r="BM84" s="155"/>
      <c r="BN84" s="155"/>
      <c r="BO84" s="155"/>
      <c r="BP84" s="155"/>
      <c r="BQ84" s="155"/>
      <c r="BR84" s="155"/>
      <c r="BS84" s="155"/>
      <c r="BT84" s="155"/>
      <c r="BU84" s="155"/>
      <c r="BV84" s="155"/>
      <c r="BW84" s="155"/>
      <c r="BX84" s="155"/>
      <c r="BY84" s="155"/>
      <c r="BZ84" s="155"/>
      <c r="CA84" s="155"/>
      <c r="CB84" s="155"/>
      <c r="CC84" s="155"/>
      <c r="CD84" s="155"/>
      <c r="CE84" s="155"/>
      <c r="CF84" s="155"/>
      <c r="CH84" s="155"/>
      <c r="CI84" s="155"/>
      <c r="CJ84" s="155"/>
      <c r="CK84" s="155"/>
      <c r="CL84" s="155"/>
      <c r="CM84" s="155"/>
      <c r="CN84" s="155"/>
      <c r="CO84" s="155"/>
      <c r="CP84" s="155"/>
      <c r="CQ84" s="155"/>
      <c r="CR84" s="155"/>
      <c r="CS84" s="155"/>
      <c r="CT84" s="155"/>
      <c r="CU84" s="155"/>
      <c r="CV84" s="155"/>
      <c r="CW84" s="155"/>
      <c r="CX84" s="155"/>
      <c r="CY84" s="155"/>
      <c r="CZ84" s="155"/>
      <c r="DA84" s="155"/>
      <c r="DB84" s="155"/>
      <c r="DC84" s="155"/>
      <c r="DD84" s="155"/>
      <c r="DE84" s="155"/>
      <c r="DF84" s="155"/>
      <c r="DG84" s="155"/>
      <c r="DH84" s="155"/>
      <c r="DI84" s="155"/>
      <c r="DJ84" s="155"/>
      <c r="DK84" s="155"/>
      <c r="DL84" s="155"/>
      <c r="DM84" s="155"/>
      <c r="DN84" s="155"/>
      <c r="DO84" s="155"/>
      <c r="DP84" s="155"/>
      <c r="DQ84" s="155"/>
      <c r="DR84" s="155"/>
      <c r="DS84" s="155"/>
      <c r="DT84" s="155"/>
      <c r="DU84" s="155"/>
      <c r="DV84" s="155"/>
      <c r="DW84" s="155"/>
      <c r="DX84" s="155"/>
      <c r="DY84" s="155"/>
      <c r="DZ84" s="155"/>
      <c r="EA84" s="155"/>
      <c r="EB84" s="155"/>
      <c r="EC84" s="155"/>
      <c r="ED84" s="155"/>
      <c r="EE84" s="155"/>
      <c r="EF84" s="155"/>
      <c r="EG84" s="155"/>
      <c r="EH84" s="155"/>
      <c r="EI84" s="155"/>
      <c r="EJ84" s="155"/>
      <c r="EK84" s="155"/>
      <c r="EL84" s="155"/>
    </row>
    <row r="85" spans="1:142" x14ac:dyDescent="0.3">
      <c r="B85" s="30"/>
      <c r="C85" s="30"/>
      <c r="D85" s="190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49"/>
      <c r="Z85" s="49"/>
      <c r="AA85" s="49"/>
      <c r="AB85" s="49"/>
      <c r="AC85" s="29"/>
      <c r="AD85" s="29"/>
      <c r="AE85" s="29"/>
      <c r="AF85" s="29"/>
      <c r="AG85" s="29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</row>
    <row r="86" spans="1:142" x14ac:dyDescent="0.3">
      <c r="B86" s="115" t="s">
        <v>61</v>
      </c>
      <c r="C86" s="115" t="s">
        <v>425</v>
      </c>
      <c r="D86" s="183" t="str">
        <f>IF(Menu!$D$12="PT",'Dados Financeiros'!B86,'Dados Financeiros'!C86)</f>
        <v>Receita de imóveis vendidos</v>
      </c>
      <c r="E86" s="4">
        <v>63873</v>
      </c>
      <c r="F86" s="4">
        <v>75600</v>
      </c>
      <c r="G86" s="4">
        <v>98437</v>
      </c>
      <c r="H86" s="4">
        <v>73141</v>
      </c>
      <c r="I86" s="4">
        <v>87305</v>
      </c>
      <c r="J86" s="4">
        <v>141123</v>
      </c>
      <c r="K86" s="4">
        <v>128930</v>
      </c>
      <c r="L86" s="4">
        <v>139443</v>
      </c>
      <c r="M86" s="4">
        <v>147011</v>
      </c>
      <c r="N86" s="4">
        <v>195816</v>
      </c>
      <c r="O86" s="4">
        <v>199364</v>
      </c>
      <c r="P86" s="4">
        <v>184893</v>
      </c>
      <c r="Q86" s="4">
        <v>203235</v>
      </c>
      <c r="R86" s="4">
        <v>255598</v>
      </c>
      <c r="S86" s="4">
        <v>364857</v>
      </c>
      <c r="T86" s="4">
        <v>575110</v>
      </c>
      <c r="U86" s="4">
        <v>426054</v>
      </c>
      <c r="V86" s="4">
        <v>421184</v>
      </c>
      <c r="W86" s="4">
        <v>403141</v>
      </c>
      <c r="X86" s="4">
        <v>325277</v>
      </c>
      <c r="Y86" s="4">
        <v>284962</v>
      </c>
      <c r="Z86" s="4">
        <v>240094</v>
      </c>
      <c r="AA86" s="4">
        <v>381202</v>
      </c>
      <c r="AB86" s="4">
        <v>301876</v>
      </c>
      <c r="AC86" s="4">
        <v>380793</v>
      </c>
      <c r="AD86" s="4">
        <f>840865-AB86-Z86</f>
        <v>298895</v>
      </c>
      <c r="AE86" s="4">
        <v>292838</v>
      </c>
      <c r="AF86" s="4">
        <v>257608</v>
      </c>
      <c r="AG86" s="4">
        <v>429376</v>
      </c>
      <c r="AH86" s="4">
        <v>499014</v>
      </c>
      <c r="AI86" s="4">
        <v>435724</v>
      </c>
      <c r="AJ86" s="4">
        <f>1786362+1131-AI86-AH86-AG86</f>
        <v>423379</v>
      </c>
      <c r="AK86" s="4">
        <v>365841</v>
      </c>
      <c r="AL86" s="4">
        <v>493153</v>
      </c>
      <c r="AM86" s="4">
        <v>369856</v>
      </c>
      <c r="AN86" s="4">
        <v>293617</v>
      </c>
      <c r="AO86" s="4">
        <v>377089</v>
      </c>
      <c r="AP86" s="4">
        <v>359611</v>
      </c>
      <c r="AQ86" s="4">
        <v>367787</v>
      </c>
      <c r="AR86" s="4">
        <v>87258</v>
      </c>
      <c r="AS86" s="4">
        <v>148255</v>
      </c>
      <c r="AT86" s="4">
        <v>89255</v>
      </c>
      <c r="AU86" s="4">
        <v>-4309</v>
      </c>
      <c r="AV86" s="4">
        <v>59124</v>
      </c>
      <c r="AW86" s="4">
        <v>96235</v>
      </c>
      <c r="AX86" s="4">
        <v>120405</v>
      </c>
      <c r="AY86" s="4">
        <v>4672</v>
      </c>
      <c r="AZ86" s="4">
        <v>53673</v>
      </c>
      <c r="BA86" s="94">
        <v>43750</v>
      </c>
      <c r="BB86" s="4">
        <v>52958</v>
      </c>
      <c r="BC86" s="4">
        <v>-31019</v>
      </c>
      <c r="BD86" s="4">
        <v>74399</v>
      </c>
      <c r="BE86" s="4">
        <v>108948</v>
      </c>
      <c r="BF86" s="4">
        <v>43636</v>
      </c>
      <c r="BG86" s="4">
        <v>71368</v>
      </c>
      <c r="BH86" s="4">
        <v>119125</v>
      </c>
      <c r="BI86" s="4">
        <v>39462</v>
      </c>
      <c r="BJ86" s="4">
        <v>29205</v>
      </c>
      <c r="BK86" s="4">
        <v>52045</v>
      </c>
      <c r="BL86" s="4">
        <v>28247</v>
      </c>
      <c r="BM86" s="4">
        <v>24794</v>
      </c>
      <c r="BN86" s="4">
        <v>58845</v>
      </c>
      <c r="BO86" s="4">
        <v>17990</v>
      </c>
      <c r="BP86" s="4">
        <v>19645</v>
      </c>
      <c r="BQ86" s="4">
        <v>46045</v>
      </c>
      <c r="BR86" s="4">
        <v>40041</v>
      </c>
      <c r="BS86" s="4">
        <v>70390</v>
      </c>
      <c r="BT86" s="4">
        <v>66442</v>
      </c>
      <c r="BU86" s="4">
        <v>134741</v>
      </c>
      <c r="BV86" s="4">
        <v>90462</v>
      </c>
      <c r="BW86" s="4">
        <v>86562</v>
      </c>
      <c r="BX86" s="4">
        <v>114312</v>
      </c>
      <c r="BY86" s="4">
        <v>84781</v>
      </c>
      <c r="BZ86" s="4">
        <v>170148</v>
      </c>
      <c r="CA86" s="4">
        <v>75522</v>
      </c>
      <c r="CB86" s="4">
        <v>114550</v>
      </c>
      <c r="CC86" s="4">
        <v>40610</v>
      </c>
      <c r="CD86" s="4">
        <v>22896</v>
      </c>
      <c r="CE86" s="4">
        <v>70096</v>
      </c>
      <c r="CF86" s="4">
        <v>31469</v>
      </c>
      <c r="CH86" s="32">
        <f t="shared" ref="CH86:CQ87" si="206">SUMIF($B$1:$CG$1,"&lt;="&amp;VALUE(RIGHT(CH$2,2)&amp;IF(LEFT(CH$2,2)="1S",2,IF(LEFT(CH$2,2)="9M",3,4))),$B86:$CG86)-
SUMIF($B$1:$CG$1,"&lt;"&amp;VALUE(RIGHT(CH$2,2))&amp;"0",$B86:$CG86)</f>
        <v>139473</v>
      </c>
      <c r="CI86" s="32">
        <f t="shared" si="206"/>
        <v>237910</v>
      </c>
      <c r="CJ86" s="32">
        <f t="shared" si="206"/>
        <v>311051</v>
      </c>
      <c r="CK86" s="32">
        <f t="shared" si="206"/>
        <v>228428</v>
      </c>
      <c r="CL86" s="32">
        <f t="shared" si="206"/>
        <v>357358</v>
      </c>
      <c r="CM86" s="32">
        <f t="shared" si="206"/>
        <v>496801</v>
      </c>
      <c r="CN86" s="32">
        <f t="shared" si="206"/>
        <v>342827</v>
      </c>
      <c r="CO86" s="32">
        <f t="shared" si="206"/>
        <v>542191</v>
      </c>
      <c r="CP86" s="32">
        <f t="shared" si="206"/>
        <v>727084</v>
      </c>
      <c r="CQ86" s="32">
        <f t="shared" si="206"/>
        <v>458833</v>
      </c>
      <c r="CR86" s="32">
        <f t="shared" ref="CR86:DA87" si="207">SUMIF($B$1:$CG$1,"&lt;="&amp;VALUE(RIGHT(CR$2,2)&amp;IF(LEFT(CR$2,2)="1S",2,IF(LEFT(CR$2,2)="9M",3,4))),$B86:$CG86)-
SUMIF($B$1:$CG$1,"&lt;"&amp;VALUE(RIGHT(CR$2,2))&amp;"0",$B86:$CG86)</f>
        <v>823690</v>
      </c>
      <c r="CS86" s="32">
        <f t="shared" si="207"/>
        <v>1398800</v>
      </c>
      <c r="CT86" s="32">
        <f t="shared" si="207"/>
        <v>847238</v>
      </c>
      <c r="CU86" s="32">
        <f t="shared" si="207"/>
        <v>1250379</v>
      </c>
      <c r="CV86" s="32">
        <f t="shared" si="207"/>
        <v>1575656</v>
      </c>
      <c r="CW86" s="32">
        <f t="shared" si="207"/>
        <v>541970</v>
      </c>
      <c r="CX86" s="32">
        <f t="shared" si="207"/>
        <v>840865</v>
      </c>
      <c r="CY86" s="32">
        <f t="shared" si="207"/>
        <v>1098473</v>
      </c>
      <c r="CZ86" s="32">
        <f t="shared" si="207"/>
        <v>928390</v>
      </c>
      <c r="DA86" s="32">
        <f t="shared" si="207"/>
        <v>1364114</v>
      </c>
      <c r="DB86" s="32">
        <f t="shared" ref="DB86:DK87" si="208">SUMIF($B$1:$CG$1,"&lt;="&amp;VALUE(RIGHT(DB$2,2)&amp;IF(LEFT(DB$2,2)="1S",2,IF(LEFT(DB$2,2)="9M",3,4))),$B86:$CG86)-
SUMIF($B$1:$CG$1,"&lt;"&amp;VALUE(RIGHT(DB$2,2))&amp;"0",$B86:$CG86)</f>
        <v>1787493</v>
      </c>
      <c r="DC86" s="32">
        <f t="shared" si="208"/>
        <v>858994</v>
      </c>
      <c r="DD86" s="32">
        <f t="shared" si="208"/>
        <v>1228850</v>
      </c>
      <c r="DE86" s="32">
        <f t="shared" si="208"/>
        <v>1522467</v>
      </c>
      <c r="DF86" s="32">
        <f t="shared" si="208"/>
        <v>736700</v>
      </c>
      <c r="DG86" s="32">
        <f t="shared" si="208"/>
        <v>1104487</v>
      </c>
      <c r="DH86" s="32">
        <f t="shared" si="208"/>
        <v>1191745</v>
      </c>
      <c r="DI86" s="32">
        <f t="shared" si="208"/>
        <v>237510</v>
      </c>
      <c r="DJ86" s="32">
        <f t="shared" si="208"/>
        <v>233201</v>
      </c>
      <c r="DK86" s="32">
        <f t="shared" si="208"/>
        <v>292325</v>
      </c>
      <c r="DL86" s="32">
        <f t="shared" ref="DL86:DU87" si="209">SUMIF($B$1:$CG$1,"&lt;="&amp;VALUE(RIGHT(DL$2,2)&amp;IF(LEFT(DL$2,2)="1S",2,IF(LEFT(DL$2,2)="9M",3,4))),$B86:$CG86)-
SUMIF($B$1:$CG$1,"&lt;"&amp;VALUE(RIGHT(DL$2,2))&amp;"0",$B86:$CG86)</f>
        <v>216640</v>
      </c>
      <c r="DM86" s="32">
        <f t="shared" si="209"/>
        <v>221312</v>
      </c>
      <c r="DN86" s="32">
        <f t="shared" si="209"/>
        <v>274985</v>
      </c>
      <c r="DO86" s="32">
        <f t="shared" si="209"/>
        <v>96708</v>
      </c>
      <c r="DP86" s="32">
        <f t="shared" si="209"/>
        <v>65689</v>
      </c>
      <c r="DQ86" s="32">
        <f t="shared" si="209"/>
        <v>140088</v>
      </c>
      <c r="DR86" s="32">
        <f t="shared" si="209"/>
        <v>152584</v>
      </c>
      <c r="DS86" s="32">
        <f t="shared" si="209"/>
        <v>223952</v>
      </c>
      <c r="DT86" s="32">
        <f t="shared" si="209"/>
        <v>343077</v>
      </c>
      <c r="DU86" s="32">
        <f t="shared" si="209"/>
        <v>68667</v>
      </c>
      <c r="DV86" s="32">
        <f t="shared" ref="DV86:EE87" si="210">SUMIF($B$1:$CG$1,"&lt;="&amp;VALUE(RIGHT(DV$2,2)&amp;IF(LEFT(DV$2,2)="1S",2,IF(LEFT(DV$2,2)="9M",3,4))),$B86:$CG86)-
SUMIF($B$1:$CG$1,"&lt;"&amp;VALUE(RIGHT(DV$2,2))&amp;"0",$B86:$CG86)</f>
        <v>120712</v>
      </c>
      <c r="DW86" s="32">
        <f t="shared" si="210"/>
        <v>148959</v>
      </c>
      <c r="DX86" s="32">
        <f t="shared" si="210"/>
        <v>83639</v>
      </c>
      <c r="DY86" s="32">
        <f t="shared" si="210"/>
        <v>101629</v>
      </c>
      <c r="DZ86" s="32">
        <f t="shared" si="210"/>
        <v>121274</v>
      </c>
      <c r="EA86" s="32">
        <f t="shared" si="210"/>
        <v>86086</v>
      </c>
      <c r="EB86" s="32">
        <f t="shared" si="210"/>
        <v>156476</v>
      </c>
      <c r="EC86" s="32">
        <f t="shared" si="210"/>
        <v>222918</v>
      </c>
      <c r="ED86" s="32">
        <f t="shared" si="210"/>
        <v>225203</v>
      </c>
      <c r="EE86" s="32">
        <f t="shared" si="210"/>
        <v>311765</v>
      </c>
      <c r="EF86" s="32">
        <f t="shared" ref="EF86:EL87" si="211">SUMIF($B$1:$CG$1,"&lt;="&amp;VALUE(RIGHT(EF$2,2)&amp;IF(LEFT(EF$2,2)="1S",2,IF(LEFT(EF$2,2)="9M",3,4))),$B86:$CG86)-
SUMIF($B$1:$CG$1,"&lt;"&amp;VALUE(RIGHT(EF$2,2))&amp;"0",$B86:$CG86)</f>
        <v>426077</v>
      </c>
      <c r="EG86" s="32">
        <f t="shared" si="211"/>
        <v>254929</v>
      </c>
      <c r="EH86" s="32">
        <f t="shared" si="211"/>
        <v>330451</v>
      </c>
      <c r="EI86" s="32">
        <f t="shared" si="211"/>
        <v>445001</v>
      </c>
      <c r="EJ86" s="32">
        <f t="shared" si="211"/>
        <v>63506</v>
      </c>
      <c r="EK86" s="32">
        <f t="shared" si="211"/>
        <v>133602</v>
      </c>
      <c r="EL86" s="32">
        <f t="shared" si="211"/>
        <v>165071</v>
      </c>
    </row>
    <row r="87" spans="1:142" x14ac:dyDescent="0.3">
      <c r="B87" s="116" t="s">
        <v>60</v>
      </c>
      <c r="C87" s="116" t="s">
        <v>426</v>
      </c>
      <c r="D87" s="182" t="str">
        <f>IF(Menu!$D$12="PT",'Dados Financeiros'!B87,'Dados Financeiros'!C87)</f>
        <v>Receita de serviços prestados</v>
      </c>
      <c r="E87" s="32">
        <v>4563</v>
      </c>
      <c r="F87" s="32">
        <v>8161</v>
      </c>
      <c r="G87" s="32">
        <v>10444</v>
      </c>
      <c r="H87" s="32">
        <v>14936</v>
      </c>
      <c r="I87" s="32">
        <v>5103</v>
      </c>
      <c r="J87" s="32">
        <v>5551</v>
      </c>
      <c r="K87" s="32">
        <v>2810</v>
      </c>
      <c r="L87" s="32">
        <v>3804</v>
      </c>
      <c r="M87" s="32">
        <v>1383</v>
      </c>
      <c r="N87" s="32">
        <v>3206</v>
      </c>
      <c r="O87" s="32">
        <v>4000</v>
      </c>
      <c r="P87" s="32">
        <v>1524</v>
      </c>
      <c r="Q87" s="32">
        <v>2450</v>
      </c>
      <c r="R87" s="32">
        <v>4138</v>
      </c>
      <c r="S87" s="32">
        <v>4375</v>
      </c>
      <c r="T87" s="32">
        <v>5455</v>
      </c>
      <c r="U87" s="32">
        <v>5201</v>
      </c>
      <c r="V87" s="32">
        <v>5548</v>
      </c>
      <c r="W87" s="32">
        <v>6357</v>
      </c>
      <c r="X87" s="32">
        <v>3383</v>
      </c>
      <c r="Y87" s="32">
        <v>3764</v>
      </c>
      <c r="Z87" s="32">
        <v>3764</v>
      </c>
      <c r="AA87" s="32">
        <v>5283</v>
      </c>
      <c r="AB87" s="32">
        <v>5283</v>
      </c>
      <c r="AC87" s="32">
        <v>5592</v>
      </c>
      <c r="AD87" s="32">
        <f>14639-AB87-Z87</f>
        <v>5592</v>
      </c>
      <c r="AE87" s="32">
        <v>971</v>
      </c>
      <c r="AF87" s="32">
        <v>971</v>
      </c>
      <c r="AG87" s="32">
        <v>9609</v>
      </c>
      <c r="AH87" s="32">
        <v>9708</v>
      </c>
      <c r="AI87" s="32">
        <v>10971</v>
      </c>
      <c r="AJ87" s="32">
        <f>44756-AI87-AH87-AG87</f>
        <v>14468</v>
      </c>
      <c r="AK87" s="32">
        <v>15223</v>
      </c>
      <c r="AL87" s="32">
        <v>19313</v>
      </c>
      <c r="AM87" s="32">
        <v>22137</v>
      </c>
      <c r="AN87" s="4">
        <v>17543</v>
      </c>
      <c r="AO87" s="4">
        <v>14751</v>
      </c>
      <c r="AP87" s="4">
        <v>17607</v>
      </c>
      <c r="AQ87" s="4">
        <v>18559</v>
      </c>
      <c r="AR87" s="4">
        <v>29087</v>
      </c>
      <c r="AS87" s="4">
        <v>14468</v>
      </c>
      <c r="AT87" s="4">
        <v>15205</v>
      </c>
      <c r="AU87" s="4">
        <v>10681</v>
      </c>
      <c r="AV87" s="4">
        <v>8398</v>
      </c>
      <c r="AW87" s="4">
        <v>7194</v>
      </c>
      <c r="AX87" s="4">
        <v>6337</v>
      </c>
      <c r="AY87" s="4">
        <v>9140</v>
      </c>
      <c r="AZ87" s="4">
        <v>10333</v>
      </c>
      <c r="BA87" s="94">
        <v>18934</v>
      </c>
      <c r="BB87" s="4">
        <v>7224</v>
      </c>
      <c r="BC87" s="4">
        <v>4910</v>
      </c>
      <c r="BD87" s="4">
        <v>4777</v>
      </c>
      <c r="BE87" s="4">
        <v>5271</v>
      </c>
      <c r="BF87" s="4">
        <v>4930</v>
      </c>
      <c r="BG87" s="4">
        <v>5106</v>
      </c>
      <c r="BH87" s="4">
        <v>7581</v>
      </c>
      <c r="BI87" s="4">
        <v>5938</v>
      </c>
      <c r="BJ87" s="4">
        <v>5970</v>
      </c>
      <c r="BK87" s="4">
        <v>9023</v>
      </c>
      <c r="BL87" s="4">
        <v>10757</v>
      </c>
      <c r="BM87" s="4">
        <v>9080</v>
      </c>
      <c r="BN87" s="4">
        <v>8450</v>
      </c>
      <c r="BO87" s="4">
        <v>8779</v>
      </c>
      <c r="BP87" s="4">
        <v>-1220.1000000000004</v>
      </c>
      <c r="BQ87" s="4">
        <v>2809</v>
      </c>
      <c r="BR87" s="4">
        <v>1835</v>
      </c>
      <c r="BS87" s="4">
        <v>4228</v>
      </c>
      <c r="BT87" s="4">
        <v>5557</v>
      </c>
      <c r="BU87" s="4">
        <v>2365</v>
      </c>
      <c r="BV87" s="4">
        <v>4358</v>
      </c>
      <c r="BW87" s="4">
        <v>2218</v>
      </c>
      <c r="BX87" s="4">
        <v>2102</v>
      </c>
      <c r="BY87" s="4">
        <v>3102.1620200000016</v>
      </c>
      <c r="BZ87" s="4">
        <v>5613.0488999999998</v>
      </c>
      <c r="CA87" s="4">
        <v>8342.7509900000005</v>
      </c>
      <c r="CB87" s="4">
        <v>8567.0380899999982</v>
      </c>
      <c r="CC87" s="4">
        <v>8954</v>
      </c>
      <c r="CD87" s="4">
        <v>10816</v>
      </c>
      <c r="CE87" s="4">
        <v>14438</v>
      </c>
      <c r="CF87" s="4">
        <v>15260</v>
      </c>
      <c r="CH87" s="32">
        <f t="shared" si="206"/>
        <v>12724</v>
      </c>
      <c r="CI87" s="32">
        <f t="shared" si="206"/>
        <v>23168</v>
      </c>
      <c r="CJ87" s="32">
        <f t="shared" si="206"/>
        <v>38104</v>
      </c>
      <c r="CK87" s="32">
        <f t="shared" si="206"/>
        <v>10654</v>
      </c>
      <c r="CL87" s="32">
        <f t="shared" si="206"/>
        <v>13464</v>
      </c>
      <c r="CM87" s="32">
        <f t="shared" si="206"/>
        <v>17268</v>
      </c>
      <c r="CN87" s="32">
        <f t="shared" si="206"/>
        <v>4589</v>
      </c>
      <c r="CO87" s="32">
        <f t="shared" si="206"/>
        <v>8589</v>
      </c>
      <c r="CP87" s="32">
        <f t="shared" si="206"/>
        <v>10113</v>
      </c>
      <c r="CQ87" s="32">
        <f t="shared" si="206"/>
        <v>6588</v>
      </c>
      <c r="CR87" s="32">
        <f t="shared" si="207"/>
        <v>10963</v>
      </c>
      <c r="CS87" s="32">
        <f t="shared" si="207"/>
        <v>16418</v>
      </c>
      <c r="CT87" s="32">
        <f t="shared" si="207"/>
        <v>10749</v>
      </c>
      <c r="CU87" s="32">
        <f t="shared" si="207"/>
        <v>17106</v>
      </c>
      <c r="CV87" s="32">
        <f t="shared" si="207"/>
        <v>20489</v>
      </c>
      <c r="CW87" s="32">
        <f t="shared" si="207"/>
        <v>9047</v>
      </c>
      <c r="CX87" s="32">
        <f t="shared" si="207"/>
        <v>14639</v>
      </c>
      <c r="CY87" s="32">
        <f t="shared" si="207"/>
        <v>15610</v>
      </c>
      <c r="CZ87" s="32">
        <f t="shared" si="207"/>
        <v>19317</v>
      </c>
      <c r="DA87" s="32">
        <f t="shared" si="207"/>
        <v>30288</v>
      </c>
      <c r="DB87" s="32">
        <f t="shared" si="208"/>
        <v>44756</v>
      </c>
      <c r="DC87" s="32">
        <f t="shared" si="208"/>
        <v>34536</v>
      </c>
      <c r="DD87" s="32">
        <f t="shared" si="208"/>
        <v>56673</v>
      </c>
      <c r="DE87" s="32">
        <f t="shared" si="208"/>
        <v>74216</v>
      </c>
      <c r="DF87" s="32">
        <f t="shared" si="208"/>
        <v>32358</v>
      </c>
      <c r="DG87" s="32">
        <f t="shared" si="208"/>
        <v>50917</v>
      </c>
      <c r="DH87" s="32">
        <f t="shared" si="208"/>
        <v>80004</v>
      </c>
      <c r="DI87" s="32">
        <f t="shared" si="208"/>
        <v>29673</v>
      </c>
      <c r="DJ87" s="32">
        <f t="shared" si="208"/>
        <v>40354</v>
      </c>
      <c r="DK87" s="32">
        <f t="shared" si="208"/>
        <v>48752</v>
      </c>
      <c r="DL87" s="32">
        <f t="shared" si="209"/>
        <v>13531</v>
      </c>
      <c r="DM87" s="32">
        <f t="shared" si="209"/>
        <v>22671</v>
      </c>
      <c r="DN87" s="32">
        <f t="shared" si="209"/>
        <v>33004</v>
      </c>
      <c r="DO87" s="32">
        <f t="shared" si="209"/>
        <v>26158</v>
      </c>
      <c r="DP87" s="32">
        <f t="shared" si="209"/>
        <v>31068</v>
      </c>
      <c r="DQ87" s="32">
        <f t="shared" si="209"/>
        <v>35845</v>
      </c>
      <c r="DR87" s="32">
        <f t="shared" si="209"/>
        <v>10201</v>
      </c>
      <c r="DS87" s="32">
        <f t="shared" si="209"/>
        <v>15307</v>
      </c>
      <c r="DT87" s="32">
        <f t="shared" si="209"/>
        <v>22888</v>
      </c>
      <c r="DU87" s="32">
        <f t="shared" si="209"/>
        <v>11908</v>
      </c>
      <c r="DV87" s="32">
        <f t="shared" si="210"/>
        <v>20931</v>
      </c>
      <c r="DW87" s="32">
        <f t="shared" si="210"/>
        <v>31688</v>
      </c>
      <c r="DX87" s="32">
        <f t="shared" si="210"/>
        <v>17530</v>
      </c>
      <c r="DY87" s="32">
        <f t="shared" si="210"/>
        <v>26309</v>
      </c>
      <c r="DZ87" s="32">
        <f t="shared" si="210"/>
        <v>25088.900000000023</v>
      </c>
      <c r="EA87" s="32">
        <f t="shared" si="210"/>
        <v>4644</v>
      </c>
      <c r="EB87" s="32">
        <f t="shared" si="210"/>
        <v>8872</v>
      </c>
      <c r="EC87" s="32">
        <f t="shared" si="210"/>
        <v>14429</v>
      </c>
      <c r="ED87" s="32">
        <f t="shared" si="210"/>
        <v>6723</v>
      </c>
      <c r="EE87" s="32">
        <f t="shared" si="210"/>
        <v>8941</v>
      </c>
      <c r="EF87" s="32">
        <f t="shared" si="211"/>
        <v>11043</v>
      </c>
      <c r="EG87" s="32">
        <f t="shared" si="211"/>
        <v>8715.2109200000996</v>
      </c>
      <c r="EH87" s="32">
        <f t="shared" si="211"/>
        <v>17057.961910000071</v>
      </c>
      <c r="EI87" s="32">
        <f t="shared" si="211"/>
        <v>25625.000000000116</v>
      </c>
      <c r="EJ87" s="32">
        <f t="shared" si="211"/>
        <v>19770</v>
      </c>
      <c r="EK87" s="32">
        <f t="shared" si="211"/>
        <v>34208</v>
      </c>
      <c r="EL87" s="32">
        <f t="shared" si="211"/>
        <v>49468</v>
      </c>
    </row>
    <row r="88" spans="1:142" ht="14.4" thickBot="1" x14ac:dyDescent="0.35">
      <c r="B88" s="27" t="s">
        <v>59</v>
      </c>
      <c r="C88" s="27" t="s">
        <v>427</v>
      </c>
      <c r="D88" s="181" t="str">
        <f>IF(Menu!$D$12="PT",'Dados Financeiros'!B88,'Dados Financeiros'!C88)</f>
        <v>Receita operacional bruta</v>
      </c>
      <c r="E88" s="20">
        <f t="shared" ref="E88:P88" si="212">E86+E87</f>
        <v>68436</v>
      </c>
      <c r="F88" s="20">
        <f t="shared" si="212"/>
        <v>83761</v>
      </c>
      <c r="G88" s="20">
        <f t="shared" si="212"/>
        <v>108881</v>
      </c>
      <c r="H88" s="20">
        <f t="shared" si="212"/>
        <v>88077</v>
      </c>
      <c r="I88" s="20">
        <f t="shared" si="212"/>
        <v>92408</v>
      </c>
      <c r="J88" s="20">
        <f t="shared" si="212"/>
        <v>146674</v>
      </c>
      <c r="K88" s="20">
        <f t="shared" si="212"/>
        <v>131740</v>
      </c>
      <c r="L88" s="20">
        <f t="shared" si="212"/>
        <v>143247</v>
      </c>
      <c r="M88" s="20">
        <f t="shared" si="212"/>
        <v>148394</v>
      </c>
      <c r="N88" s="20">
        <f t="shared" si="212"/>
        <v>199022</v>
      </c>
      <c r="O88" s="20">
        <f t="shared" si="212"/>
        <v>203364</v>
      </c>
      <c r="P88" s="20">
        <f t="shared" si="212"/>
        <v>186417</v>
      </c>
      <c r="Q88" s="20">
        <f t="shared" ref="Q88:AV88" si="213">SUM(Q86:Q87)</f>
        <v>205685</v>
      </c>
      <c r="R88" s="20">
        <f t="shared" si="213"/>
        <v>259736</v>
      </c>
      <c r="S88" s="20">
        <f t="shared" si="213"/>
        <v>369232</v>
      </c>
      <c r="T88" s="20">
        <f t="shared" si="213"/>
        <v>580565</v>
      </c>
      <c r="U88" s="20">
        <f t="shared" si="213"/>
        <v>431255</v>
      </c>
      <c r="V88" s="20">
        <f t="shared" si="213"/>
        <v>426732</v>
      </c>
      <c r="W88" s="20">
        <f t="shared" si="213"/>
        <v>409498</v>
      </c>
      <c r="X88" s="20">
        <f t="shared" si="213"/>
        <v>328660</v>
      </c>
      <c r="Y88" s="20">
        <f t="shared" si="213"/>
        <v>288726</v>
      </c>
      <c r="Z88" s="20">
        <f t="shared" si="213"/>
        <v>243858</v>
      </c>
      <c r="AA88" s="20">
        <f t="shared" si="213"/>
        <v>386485</v>
      </c>
      <c r="AB88" s="20">
        <f t="shared" si="213"/>
        <v>307159</v>
      </c>
      <c r="AC88" s="20">
        <f t="shared" si="213"/>
        <v>386385</v>
      </c>
      <c r="AD88" s="20">
        <f t="shared" si="213"/>
        <v>304487</v>
      </c>
      <c r="AE88" s="20">
        <f t="shared" si="213"/>
        <v>293809</v>
      </c>
      <c r="AF88" s="20">
        <f t="shared" si="213"/>
        <v>258579</v>
      </c>
      <c r="AG88" s="20">
        <f t="shared" si="213"/>
        <v>438985</v>
      </c>
      <c r="AH88" s="20">
        <f t="shared" si="213"/>
        <v>508722</v>
      </c>
      <c r="AI88" s="20">
        <f t="shared" si="213"/>
        <v>446695</v>
      </c>
      <c r="AJ88" s="20">
        <f t="shared" si="213"/>
        <v>437847</v>
      </c>
      <c r="AK88" s="20">
        <f t="shared" si="213"/>
        <v>381064</v>
      </c>
      <c r="AL88" s="20">
        <f t="shared" si="213"/>
        <v>512466</v>
      </c>
      <c r="AM88" s="20">
        <f t="shared" si="213"/>
        <v>391993</v>
      </c>
      <c r="AN88" s="20">
        <f t="shared" si="213"/>
        <v>311160</v>
      </c>
      <c r="AO88" s="20">
        <f t="shared" si="213"/>
        <v>391840</v>
      </c>
      <c r="AP88" s="20">
        <f t="shared" si="213"/>
        <v>377218</v>
      </c>
      <c r="AQ88" s="20">
        <f t="shared" si="213"/>
        <v>386346</v>
      </c>
      <c r="AR88" s="20">
        <f t="shared" si="213"/>
        <v>116345</v>
      </c>
      <c r="AS88" s="20">
        <f t="shared" si="213"/>
        <v>162723</v>
      </c>
      <c r="AT88" s="20">
        <f t="shared" si="213"/>
        <v>104460</v>
      </c>
      <c r="AU88" s="20">
        <f t="shared" si="213"/>
        <v>6372</v>
      </c>
      <c r="AV88" s="20">
        <f t="shared" si="213"/>
        <v>67522</v>
      </c>
      <c r="AW88" s="20">
        <f t="shared" ref="AW88:AX88" si="214">SUM(AW86:AW87)</f>
        <v>103429</v>
      </c>
      <c r="AX88" s="20">
        <f t="shared" si="214"/>
        <v>126742</v>
      </c>
      <c r="AY88" s="20">
        <f t="shared" ref="AY88:BC88" si="215">SUM(AY86:AY87)</f>
        <v>13812</v>
      </c>
      <c r="AZ88" s="20">
        <f t="shared" ref="AZ88:BB88" si="216">SUM(AZ86:AZ87)</f>
        <v>64006</v>
      </c>
      <c r="BA88" s="20">
        <f t="shared" si="216"/>
        <v>62684</v>
      </c>
      <c r="BB88" s="20">
        <f t="shared" si="216"/>
        <v>60182</v>
      </c>
      <c r="BC88" s="20">
        <f t="shared" si="215"/>
        <v>-26109</v>
      </c>
      <c r="BD88" s="20">
        <f t="shared" ref="BD88:BE88" si="217">SUM(BD86:BD87)</f>
        <v>79176</v>
      </c>
      <c r="BE88" s="20">
        <f t="shared" si="217"/>
        <v>114219</v>
      </c>
      <c r="BF88" s="20">
        <f t="shared" ref="BF88:BG88" si="218">SUM(BF86:BF87)</f>
        <v>48566</v>
      </c>
      <c r="BG88" s="20">
        <f t="shared" si="218"/>
        <v>76474</v>
      </c>
      <c r="BH88" s="20">
        <f t="shared" ref="BH88:BN88" si="219">SUM(BH86:BH87)</f>
        <v>126706</v>
      </c>
      <c r="BI88" s="20">
        <f t="shared" si="219"/>
        <v>45400</v>
      </c>
      <c r="BJ88" s="20">
        <f t="shared" si="219"/>
        <v>35175</v>
      </c>
      <c r="BK88" s="20">
        <f t="shared" si="219"/>
        <v>61068</v>
      </c>
      <c r="BL88" s="20">
        <f t="shared" si="219"/>
        <v>39004</v>
      </c>
      <c r="BM88" s="20">
        <f t="shared" si="219"/>
        <v>33874</v>
      </c>
      <c r="BN88" s="20">
        <f t="shared" si="219"/>
        <v>67295</v>
      </c>
      <c r="BO88" s="20">
        <v>26769</v>
      </c>
      <c r="BP88" s="20">
        <f t="shared" ref="BP88" si="220">SUM(BP86:BP87)</f>
        <v>18424.900000000001</v>
      </c>
      <c r="BQ88" s="20">
        <v>48854</v>
      </c>
      <c r="BR88" s="20">
        <f>SUM(BR86:BR87)</f>
        <v>41876</v>
      </c>
      <c r="BS88" s="20">
        <v>74618</v>
      </c>
      <c r="BT88" s="20">
        <v>71999</v>
      </c>
      <c r="BU88" s="20">
        <f>SUM(BU86:BU87)</f>
        <v>137106</v>
      </c>
      <c r="BV88" s="20">
        <f t="shared" ref="BV88:BX88" si="221">SUM(BV86:BV87)</f>
        <v>94820</v>
      </c>
      <c r="BW88" s="20">
        <f t="shared" si="221"/>
        <v>88780</v>
      </c>
      <c r="BX88" s="20">
        <f t="shared" si="221"/>
        <v>116414</v>
      </c>
      <c r="BY88" s="20">
        <f t="shared" ref="BY88:BZ88" si="222">SUM(BY86:BY87)</f>
        <v>87883.162020000003</v>
      </c>
      <c r="BZ88" s="20">
        <f t="shared" si="222"/>
        <v>175761.04889999999</v>
      </c>
      <c r="CA88" s="20">
        <f t="shared" ref="CA88:CB88" si="223">SUM(CA86:CA87)</f>
        <v>83864.75099</v>
      </c>
      <c r="CB88" s="20">
        <f t="shared" si="223"/>
        <v>123117.03809</v>
      </c>
      <c r="CC88" s="20">
        <f t="shared" ref="CC88:CD88" si="224">SUM(CC86:CC87)</f>
        <v>49564</v>
      </c>
      <c r="CD88" s="20">
        <f t="shared" si="224"/>
        <v>33712</v>
      </c>
      <c r="CE88" s="20">
        <f t="shared" ref="CE88:CF88" si="225">SUM(CE86:CE87)</f>
        <v>84534</v>
      </c>
      <c r="CF88" s="20">
        <f t="shared" si="225"/>
        <v>46729</v>
      </c>
      <c r="CH88" s="20">
        <f t="shared" ref="CH88" si="226">SUM(CH86:CH87)</f>
        <v>152197</v>
      </c>
      <c r="CI88" s="20">
        <f t="shared" ref="CI88:DR88" si="227">SUM(CI86:CI87)</f>
        <v>261078</v>
      </c>
      <c r="CJ88" s="20">
        <f t="shared" si="227"/>
        <v>349155</v>
      </c>
      <c r="CK88" s="20">
        <f t="shared" si="227"/>
        <v>239082</v>
      </c>
      <c r="CL88" s="20">
        <f t="shared" si="227"/>
        <v>370822</v>
      </c>
      <c r="CM88" s="20">
        <f t="shared" si="227"/>
        <v>514069</v>
      </c>
      <c r="CN88" s="20">
        <f t="shared" si="227"/>
        <v>347416</v>
      </c>
      <c r="CO88" s="20">
        <f t="shared" si="227"/>
        <v>550780</v>
      </c>
      <c r="CP88" s="20">
        <f t="shared" si="227"/>
        <v>737197</v>
      </c>
      <c r="CQ88" s="20">
        <f t="shared" si="227"/>
        <v>465421</v>
      </c>
      <c r="CR88" s="20">
        <f t="shared" si="227"/>
        <v>834653</v>
      </c>
      <c r="CS88" s="20">
        <f t="shared" si="227"/>
        <v>1415218</v>
      </c>
      <c r="CT88" s="20">
        <f t="shared" si="227"/>
        <v>857987</v>
      </c>
      <c r="CU88" s="20">
        <f t="shared" si="227"/>
        <v>1267485</v>
      </c>
      <c r="CV88" s="20">
        <f t="shared" si="227"/>
        <v>1596145</v>
      </c>
      <c r="CW88" s="20">
        <f t="shared" si="227"/>
        <v>551017</v>
      </c>
      <c r="CX88" s="20">
        <f t="shared" si="227"/>
        <v>855504</v>
      </c>
      <c r="CY88" s="20">
        <f t="shared" si="227"/>
        <v>1114083</v>
      </c>
      <c r="CZ88" s="20">
        <f t="shared" si="227"/>
        <v>947707</v>
      </c>
      <c r="DA88" s="20">
        <f t="shared" si="227"/>
        <v>1394402</v>
      </c>
      <c r="DB88" s="20">
        <f t="shared" si="227"/>
        <v>1832249</v>
      </c>
      <c r="DC88" s="20">
        <f t="shared" si="227"/>
        <v>893530</v>
      </c>
      <c r="DD88" s="20">
        <f t="shared" si="227"/>
        <v>1285523</v>
      </c>
      <c r="DE88" s="20">
        <f t="shared" si="227"/>
        <v>1596683</v>
      </c>
      <c r="DF88" s="20">
        <f t="shared" si="227"/>
        <v>769058</v>
      </c>
      <c r="DG88" s="20">
        <f t="shared" si="227"/>
        <v>1155404</v>
      </c>
      <c r="DH88" s="20">
        <f t="shared" si="227"/>
        <v>1271749</v>
      </c>
      <c r="DI88" s="20">
        <f t="shared" si="227"/>
        <v>267183</v>
      </c>
      <c r="DJ88" s="20">
        <f t="shared" si="227"/>
        <v>273555</v>
      </c>
      <c r="DK88" s="20">
        <f t="shared" si="227"/>
        <v>341077</v>
      </c>
      <c r="DL88" s="20">
        <f t="shared" si="227"/>
        <v>230171</v>
      </c>
      <c r="DM88" s="20">
        <f t="shared" si="227"/>
        <v>243983</v>
      </c>
      <c r="DN88" s="20">
        <f t="shared" si="227"/>
        <v>307989</v>
      </c>
      <c r="DO88" s="20">
        <f t="shared" si="227"/>
        <v>122866</v>
      </c>
      <c r="DP88" s="20">
        <f t="shared" si="227"/>
        <v>96757</v>
      </c>
      <c r="DQ88" s="20">
        <f t="shared" si="227"/>
        <v>175933</v>
      </c>
      <c r="DR88" s="20">
        <f t="shared" si="227"/>
        <v>162785</v>
      </c>
      <c r="DS88" s="20">
        <f t="shared" ref="DS88:DU88" si="228">SUM(DS86:DS87)</f>
        <v>239259</v>
      </c>
      <c r="DT88" s="20">
        <f t="shared" si="228"/>
        <v>365965</v>
      </c>
      <c r="DU88" s="20">
        <f t="shared" si="228"/>
        <v>80575</v>
      </c>
      <c r="DV88" s="20">
        <f t="shared" ref="DV88:DX88" si="229">SUM(DV86:DV87)</f>
        <v>141643</v>
      </c>
      <c r="DW88" s="20">
        <f t="shared" si="229"/>
        <v>180647</v>
      </c>
      <c r="DX88" s="20">
        <f t="shared" si="229"/>
        <v>101169</v>
      </c>
      <c r="DY88" s="20">
        <f t="shared" ref="DY88:EB88" si="230">SUM(DY86:DY87)</f>
        <v>127938</v>
      </c>
      <c r="DZ88" s="20">
        <f t="shared" si="230"/>
        <v>146362.90000000002</v>
      </c>
      <c r="EA88" s="20">
        <f t="shared" si="230"/>
        <v>90730</v>
      </c>
      <c r="EB88" s="20">
        <f t="shared" si="230"/>
        <v>165348</v>
      </c>
      <c r="EC88" s="20">
        <f t="shared" ref="EC88:EF88" si="231">SUM(EC86:EC87)</f>
        <v>237347</v>
      </c>
      <c r="ED88" s="20">
        <f t="shared" si="231"/>
        <v>231926</v>
      </c>
      <c r="EE88" s="20">
        <f t="shared" si="231"/>
        <v>320706</v>
      </c>
      <c r="EF88" s="20">
        <f t="shared" si="231"/>
        <v>437120</v>
      </c>
      <c r="EG88" s="20">
        <f t="shared" ref="EG88:EH88" si="232">SUM(EG86:EG87)</f>
        <v>263644.2109200001</v>
      </c>
      <c r="EH88" s="20">
        <f t="shared" si="232"/>
        <v>347508.96191000007</v>
      </c>
      <c r="EI88" s="20">
        <f t="shared" ref="EI88:EK88" si="233">SUM(EI86:EI87)</f>
        <v>470626.00000000012</v>
      </c>
      <c r="EJ88" s="20">
        <f t="shared" si="233"/>
        <v>83276</v>
      </c>
      <c r="EK88" s="20">
        <f t="shared" si="233"/>
        <v>167810</v>
      </c>
      <c r="EL88" s="20">
        <f t="shared" ref="EL88" si="234">SUM(EL86:EL87)</f>
        <v>214539</v>
      </c>
    </row>
    <row r="89" spans="1:142" x14ac:dyDescent="0.3">
      <c r="B89" s="12"/>
      <c r="C89" s="12"/>
      <c r="D89" s="185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47"/>
      <c r="V89" s="11"/>
      <c r="W89" s="11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87"/>
      <c r="AM89" s="87"/>
      <c r="AN89" s="87"/>
      <c r="AO89" s="46"/>
      <c r="AP89" s="46"/>
      <c r="AQ89" s="47"/>
      <c r="AR89" s="47"/>
      <c r="AS89" s="47"/>
      <c r="AT89" s="47"/>
      <c r="AU89" s="47"/>
      <c r="AV89" s="47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  <c r="DD89" s="46"/>
      <c r="DE89" s="46"/>
      <c r="DF89" s="46"/>
      <c r="DG89" s="46"/>
      <c r="DH89" s="46"/>
      <c r="DI89" s="46"/>
      <c r="DJ89" s="46"/>
      <c r="DK89" s="46"/>
      <c r="DL89" s="46"/>
      <c r="DM89" s="46"/>
      <c r="DN89" s="46"/>
      <c r="DO89" s="46"/>
      <c r="DP89" s="46"/>
      <c r="DQ89" s="46"/>
      <c r="DR89" s="46"/>
      <c r="DS89" s="46"/>
      <c r="DT89" s="46"/>
      <c r="DU89" s="46"/>
      <c r="DV89" s="46"/>
      <c r="DW89" s="46"/>
      <c r="DX89" s="46"/>
      <c r="DY89" s="46"/>
      <c r="DZ89" s="46"/>
      <c r="EA89" s="46"/>
      <c r="EB89" s="46"/>
      <c r="EC89" s="46"/>
      <c r="ED89" s="46"/>
      <c r="EE89" s="46"/>
      <c r="EF89" s="46"/>
      <c r="EG89" s="46"/>
      <c r="EH89" s="46"/>
      <c r="EI89" s="46"/>
      <c r="EJ89" s="46"/>
      <c r="EK89" s="46"/>
      <c r="EL89" s="46"/>
    </row>
    <row r="90" spans="1:142" x14ac:dyDescent="0.3">
      <c r="B90" s="138" t="s">
        <v>58</v>
      </c>
      <c r="C90" s="117" t="s">
        <v>428</v>
      </c>
      <c r="D90" s="183" t="str">
        <f>IF(Menu!$D$12="PT",'Dados Financeiros'!B90,'Dados Financeiros'!C90)</f>
        <v>Impostos sobre as vendas</v>
      </c>
      <c r="E90" s="4">
        <v>-2546</v>
      </c>
      <c r="F90" s="4">
        <v>-3223</v>
      </c>
      <c r="G90" s="4">
        <v>-4290</v>
      </c>
      <c r="H90" s="4">
        <v>-3763</v>
      </c>
      <c r="I90" s="4">
        <v>-3434</v>
      </c>
      <c r="J90" s="4">
        <v>-6444</v>
      </c>
      <c r="K90" s="4">
        <v>-5228</v>
      </c>
      <c r="L90" s="4">
        <v>-5750</v>
      </c>
      <c r="M90" s="4">
        <v>-5785</v>
      </c>
      <c r="N90" s="4">
        <v>-6549</v>
      </c>
      <c r="O90" s="4">
        <v>-8073</v>
      </c>
      <c r="P90" s="4">
        <v>-6082</v>
      </c>
      <c r="Q90" s="4">
        <v>-7435</v>
      </c>
      <c r="R90" s="4">
        <v>-9269</v>
      </c>
      <c r="S90" s="4">
        <v>-14521</v>
      </c>
      <c r="T90" s="4">
        <v>-19602</v>
      </c>
      <c r="U90" s="4">
        <v>-14395</v>
      </c>
      <c r="V90" s="4">
        <v>-13456</v>
      </c>
      <c r="W90" s="4">
        <v>-12838</v>
      </c>
      <c r="X90" s="4">
        <v>-8596</v>
      </c>
      <c r="Y90" s="4">
        <v>-9519</v>
      </c>
      <c r="Z90" s="4">
        <v>-8023</v>
      </c>
      <c r="AA90" s="4">
        <v>-12562</v>
      </c>
      <c r="AB90" s="4">
        <v>-9869</v>
      </c>
      <c r="AC90" s="4">
        <v>-9079</v>
      </c>
      <c r="AD90" s="4">
        <f>-24998-AB90-Z90</f>
        <v>-7106</v>
      </c>
      <c r="AE90" s="4">
        <v>13623</v>
      </c>
      <c r="AF90" s="4">
        <v>12231</v>
      </c>
      <c r="AG90" s="4">
        <v>-8898</v>
      </c>
      <c r="AH90" s="4">
        <v>-8029</v>
      </c>
      <c r="AI90" s="4">
        <v>-10408</v>
      </c>
      <c r="AJ90" s="4">
        <f>-37349-AI90-AH90-AG90</f>
        <v>-10014</v>
      </c>
      <c r="AK90" s="4">
        <v>-9046</v>
      </c>
      <c r="AL90" s="4">
        <v>-9826</v>
      </c>
      <c r="AM90" s="4">
        <v>-9697</v>
      </c>
      <c r="AN90" s="4">
        <v>-7748</v>
      </c>
      <c r="AO90" s="4">
        <v>-9562</v>
      </c>
      <c r="AP90" s="4">
        <v>-8928</v>
      </c>
      <c r="AQ90" s="4">
        <v>-8900</v>
      </c>
      <c r="AR90" s="4">
        <v>-4780</v>
      </c>
      <c r="AS90" s="4">
        <v>-5090</v>
      </c>
      <c r="AT90" s="4">
        <v>-3931</v>
      </c>
      <c r="AU90" s="4">
        <v>-1253</v>
      </c>
      <c r="AV90" s="4">
        <v>-2128</v>
      </c>
      <c r="AW90" s="4">
        <v>-3084</v>
      </c>
      <c r="AX90" s="4">
        <v>-1886</v>
      </c>
      <c r="AY90" s="4">
        <v>-1326</v>
      </c>
      <c r="AZ90" s="4">
        <v>-2867</v>
      </c>
      <c r="BA90" s="94">
        <v>-3534</v>
      </c>
      <c r="BB90" s="4">
        <v>-2407</v>
      </c>
      <c r="BC90" s="4">
        <v>-237</v>
      </c>
      <c r="BD90" s="4">
        <v>-2048</v>
      </c>
      <c r="BE90" s="4">
        <v>-1791</v>
      </c>
      <c r="BF90" s="4">
        <v>-1261</v>
      </c>
      <c r="BG90" s="4">
        <v>-1860</v>
      </c>
      <c r="BH90" s="4">
        <v>-2571</v>
      </c>
      <c r="BI90" s="4">
        <v>-1343</v>
      </c>
      <c r="BJ90" s="4">
        <v>-1354</v>
      </c>
      <c r="BK90" s="4">
        <v>-2003</v>
      </c>
      <c r="BL90" s="4">
        <v>-1776</v>
      </c>
      <c r="BM90" s="4">
        <v>-1198</v>
      </c>
      <c r="BN90" s="4">
        <v>-1824</v>
      </c>
      <c r="BO90" s="4">
        <v>-1342</v>
      </c>
      <c r="BP90" s="4">
        <v>-1035</v>
      </c>
      <c r="BQ90" s="4">
        <v>-1375</v>
      </c>
      <c r="BR90" s="4">
        <v>-1310</v>
      </c>
      <c r="BS90" s="4">
        <v>-2472</v>
      </c>
      <c r="BT90" s="4">
        <v>-2243</v>
      </c>
      <c r="BU90" s="4">
        <v>-3545</v>
      </c>
      <c r="BV90" s="4">
        <v>-3684</v>
      </c>
      <c r="BW90" s="4">
        <v>-2859</v>
      </c>
      <c r="BX90" s="4">
        <v>-3618</v>
      </c>
      <c r="BY90" s="4">
        <v>-2807</v>
      </c>
      <c r="BZ90" s="4">
        <v>-5085</v>
      </c>
      <c r="CA90" s="4">
        <v>-4219</v>
      </c>
      <c r="CB90" s="4">
        <v>-3293</v>
      </c>
      <c r="CC90" s="4">
        <v>-2672</v>
      </c>
      <c r="CD90" s="4">
        <v>-2343</v>
      </c>
      <c r="CE90" s="4">
        <v>-3048</v>
      </c>
      <c r="CF90" s="4">
        <v>-2576</v>
      </c>
      <c r="CH90" s="32">
        <f t="shared" ref="CH90:DM90" si="235">SUMIF($B$1:$CG$1,"&lt;="&amp;VALUE(RIGHT(CH$2,2)&amp;IF(LEFT(CH$2,2)="1S",2,IF(LEFT(CH$2,2)="9M",3,4))),$B90:$CG90)-
SUMIF($B$1:$CG$1,"&lt;"&amp;VALUE(RIGHT(CH$2,2))&amp;"0",$B90:$CG90)</f>
        <v>-5769</v>
      </c>
      <c r="CI90" s="32">
        <f t="shared" si="235"/>
        <v>-10059</v>
      </c>
      <c r="CJ90" s="32">
        <f t="shared" si="235"/>
        <v>-13822</v>
      </c>
      <c r="CK90" s="32">
        <f t="shared" si="235"/>
        <v>-9878</v>
      </c>
      <c r="CL90" s="32">
        <f t="shared" si="235"/>
        <v>-15106</v>
      </c>
      <c r="CM90" s="32">
        <f t="shared" si="235"/>
        <v>-20856</v>
      </c>
      <c r="CN90" s="32">
        <f t="shared" si="235"/>
        <v>-12334</v>
      </c>
      <c r="CO90" s="32">
        <f t="shared" si="235"/>
        <v>-20407</v>
      </c>
      <c r="CP90" s="32">
        <f t="shared" si="235"/>
        <v>-26489</v>
      </c>
      <c r="CQ90" s="32">
        <f t="shared" si="235"/>
        <v>-16704</v>
      </c>
      <c r="CR90" s="32">
        <f t="shared" si="235"/>
        <v>-31225</v>
      </c>
      <c r="CS90" s="32">
        <f t="shared" si="235"/>
        <v>-50827</v>
      </c>
      <c r="CT90" s="32">
        <f t="shared" si="235"/>
        <v>-27851</v>
      </c>
      <c r="CU90" s="32">
        <f t="shared" si="235"/>
        <v>-40689</v>
      </c>
      <c r="CV90" s="32">
        <f t="shared" si="235"/>
        <v>-49285</v>
      </c>
      <c r="CW90" s="32">
        <f t="shared" si="235"/>
        <v>-17892</v>
      </c>
      <c r="CX90" s="32">
        <f t="shared" si="235"/>
        <v>-24998</v>
      </c>
      <c r="CY90" s="32">
        <f t="shared" si="235"/>
        <v>-12767</v>
      </c>
      <c r="CZ90" s="32">
        <f t="shared" si="235"/>
        <v>-16927</v>
      </c>
      <c r="DA90" s="32">
        <f t="shared" si="235"/>
        <v>-27335</v>
      </c>
      <c r="DB90" s="32">
        <f t="shared" si="235"/>
        <v>-37349</v>
      </c>
      <c r="DC90" s="32">
        <f t="shared" si="235"/>
        <v>-18872</v>
      </c>
      <c r="DD90" s="32">
        <f t="shared" si="235"/>
        <v>-28569</v>
      </c>
      <c r="DE90" s="32">
        <f t="shared" si="235"/>
        <v>-36317</v>
      </c>
      <c r="DF90" s="32">
        <f t="shared" si="235"/>
        <v>-18490</v>
      </c>
      <c r="DG90" s="32">
        <f t="shared" si="235"/>
        <v>-27390</v>
      </c>
      <c r="DH90" s="32">
        <f t="shared" si="235"/>
        <v>-32170</v>
      </c>
      <c r="DI90" s="32">
        <f t="shared" si="235"/>
        <v>-9021</v>
      </c>
      <c r="DJ90" s="32">
        <f t="shared" si="235"/>
        <v>-10274</v>
      </c>
      <c r="DK90" s="32">
        <f t="shared" si="235"/>
        <v>-12402</v>
      </c>
      <c r="DL90" s="32">
        <f t="shared" si="235"/>
        <v>-4970</v>
      </c>
      <c r="DM90" s="32">
        <f t="shared" si="235"/>
        <v>-6296</v>
      </c>
      <c r="DN90" s="32">
        <f t="shared" ref="DN90:EL90" si="236">SUMIF($B$1:$CG$1,"&lt;="&amp;VALUE(RIGHT(DN$2,2)&amp;IF(LEFT(DN$2,2)="1S",2,IF(LEFT(DN$2,2)="9M",3,4))),$B90:$CG90)-
SUMIF($B$1:$CG$1,"&lt;"&amp;VALUE(RIGHT(DN$2,2))&amp;"0",$B90:$CG90)</f>
        <v>-9163</v>
      </c>
      <c r="DO90" s="32">
        <f t="shared" si="236"/>
        <v>-5941</v>
      </c>
      <c r="DP90" s="32">
        <f t="shared" si="236"/>
        <v>-6178</v>
      </c>
      <c r="DQ90" s="32">
        <f t="shared" si="236"/>
        <v>-8226</v>
      </c>
      <c r="DR90" s="32">
        <f t="shared" si="236"/>
        <v>-3052</v>
      </c>
      <c r="DS90" s="32">
        <f t="shared" si="236"/>
        <v>-4912</v>
      </c>
      <c r="DT90" s="32">
        <f t="shared" si="236"/>
        <v>-7483</v>
      </c>
      <c r="DU90" s="32">
        <f t="shared" si="236"/>
        <v>-2697</v>
      </c>
      <c r="DV90" s="32">
        <f t="shared" si="236"/>
        <v>-4700</v>
      </c>
      <c r="DW90" s="32">
        <f t="shared" si="236"/>
        <v>-6476</v>
      </c>
      <c r="DX90" s="32">
        <f t="shared" si="236"/>
        <v>-3022</v>
      </c>
      <c r="DY90" s="32">
        <f t="shared" si="236"/>
        <v>-4364</v>
      </c>
      <c r="DZ90" s="32">
        <f t="shared" si="236"/>
        <v>-5399</v>
      </c>
      <c r="EA90" s="32">
        <f t="shared" si="236"/>
        <v>-2685</v>
      </c>
      <c r="EB90" s="32">
        <f t="shared" si="236"/>
        <v>-5157</v>
      </c>
      <c r="EC90" s="32">
        <f t="shared" si="236"/>
        <v>-7400</v>
      </c>
      <c r="ED90" s="32">
        <f t="shared" si="236"/>
        <v>-7229</v>
      </c>
      <c r="EE90" s="32">
        <f t="shared" si="236"/>
        <v>-10088</v>
      </c>
      <c r="EF90" s="32">
        <f t="shared" si="236"/>
        <v>-13706</v>
      </c>
      <c r="EG90" s="32">
        <f t="shared" si="236"/>
        <v>-7892</v>
      </c>
      <c r="EH90" s="32">
        <f t="shared" si="236"/>
        <v>-12111</v>
      </c>
      <c r="EI90" s="32">
        <f t="shared" si="236"/>
        <v>-15404</v>
      </c>
      <c r="EJ90" s="32">
        <f t="shared" si="236"/>
        <v>-5015</v>
      </c>
      <c r="EK90" s="32">
        <f t="shared" si="236"/>
        <v>-8063</v>
      </c>
      <c r="EL90" s="32">
        <f t="shared" si="236"/>
        <v>-10639</v>
      </c>
    </row>
    <row r="91" spans="1:142" ht="14.4" thickBot="1" x14ac:dyDescent="0.35">
      <c r="B91" s="27" t="s">
        <v>57</v>
      </c>
      <c r="C91" s="118" t="s">
        <v>429</v>
      </c>
      <c r="D91" s="181" t="str">
        <f>IF(Menu!$D$12="PT",'Dados Financeiros'!B91,'Dados Financeiros'!C91)</f>
        <v xml:space="preserve">Receita operacional líquida </v>
      </c>
      <c r="E91" s="20">
        <f t="shared" ref="E91:AV91" si="237">E88+E90</f>
        <v>65890</v>
      </c>
      <c r="F91" s="20">
        <f t="shared" si="237"/>
        <v>80538</v>
      </c>
      <c r="G91" s="20">
        <f t="shared" si="237"/>
        <v>104591</v>
      </c>
      <c r="H91" s="20">
        <f t="shared" si="237"/>
        <v>84314</v>
      </c>
      <c r="I91" s="20">
        <f t="shared" si="237"/>
        <v>88974</v>
      </c>
      <c r="J91" s="20">
        <f t="shared" si="237"/>
        <v>140230</v>
      </c>
      <c r="K91" s="20">
        <f t="shared" si="237"/>
        <v>126512</v>
      </c>
      <c r="L91" s="20">
        <f t="shared" si="237"/>
        <v>137497</v>
      </c>
      <c r="M91" s="20">
        <f t="shared" si="237"/>
        <v>142609</v>
      </c>
      <c r="N91" s="20">
        <f t="shared" si="237"/>
        <v>192473</v>
      </c>
      <c r="O91" s="20">
        <f t="shared" si="237"/>
        <v>195291</v>
      </c>
      <c r="P91" s="20">
        <f t="shared" si="237"/>
        <v>180335</v>
      </c>
      <c r="Q91" s="20">
        <f t="shared" si="237"/>
        <v>198250</v>
      </c>
      <c r="R91" s="20">
        <f t="shared" si="237"/>
        <v>250467</v>
      </c>
      <c r="S91" s="20">
        <f t="shared" si="237"/>
        <v>354711</v>
      </c>
      <c r="T91" s="20">
        <f t="shared" si="237"/>
        <v>560963</v>
      </c>
      <c r="U91" s="20">
        <f t="shared" si="237"/>
        <v>416860</v>
      </c>
      <c r="V91" s="20">
        <f t="shared" si="237"/>
        <v>413276</v>
      </c>
      <c r="W91" s="20">
        <f t="shared" si="237"/>
        <v>396660</v>
      </c>
      <c r="X91" s="20">
        <f t="shared" si="237"/>
        <v>320064</v>
      </c>
      <c r="Y91" s="20">
        <f t="shared" si="237"/>
        <v>279207</v>
      </c>
      <c r="Z91" s="20">
        <f t="shared" si="237"/>
        <v>235835</v>
      </c>
      <c r="AA91" s="20">
        <f t="shared" si="237"/>
        <v>373923</v>
      </c>
      <c r="AB91" s="20">
        <f t="shared" si="237"/>
        <v>297290</v>
      </c>
      <c r="AC91" s="20">
        <f t="shared" si="237"/>
        <v>377306</v>
      </c>
      <c r="AD91" s="20">
        <f t="shared" si="237"/>
        <v>297381</v>
      </c>
      <c r="AE91" s="20">
        <f t="shared" si="237"/>
        <v>307432</v>
      </c>
      <c r="AF91" s="20">
        <f t="shared" si="237"/>
        <v>270810</v>
      </c>
      <c r="AG91" s="20">
        <f t="shared" si="237"/>
        <v>430087</v>
      </c>
      <c r="AH91" s="20">
        <f t="shared" si="237"/>
        <v>500693</v>
      </c>
      <c r="AI91" s="20">
        <f t="shared" si="237"/>
        <v>436287</v>
      </c>
      <c r="AJ91" s="20">
        <f t="shared" si="237"/>
        <v>427833</v>
      </c>
      <c r="AK91" s="20">
        <f t="shared" si="237"/>
        <v>372018</v>
      </c>
      <c r="AL91" s="20">
        <f t="shared" si="237"/>
        <v>502640</v>
      </c>
      <c r="AM91" s="20">
        <f t="shared" si="237"/>
        <v>382296</v>
      </c>
      <c r="AN91" s="20">
        <f t="shared" si="237"/>
        <v>303412</v>
      </c>
      <c r="AO91" s="20">
        <f t="shared" si="237"/>
        <v>382278</v>
      </c>
      <c r="AP91" s="20">
        <f t="shared" si="237"/>
        <v>368290</v>
      </c>
      <c r="AQ91" s="20">
        <f t="shared" si="237"/>
        <v>377446</v>
      </c>
      <c r="AR91" s="20">
        <f t="shared" si="237"/>
        <v>111565</v>
      </c>
      <c r="AS91" s="20">
        <f t="shared" si="237"/>
        <v>157633</v>
      </c>
      <c r="AT91" s="20">
        <f t="shared" si="237"/>
        <v>100529</v>
      </c>
      <c r="AU91" s="20">
        <f t="shared" si="237"/>
        <v>5119</v>
      </c>
      <c r="AV91" s="20">
        <f t="shared" si="237"/>
        <v>65394</v>
      </c>
      <c r="AW91" s="20">
        <f t="shared" ref="AW91:AX91" si="238">AW88+AW90</f>
        <v>100345</v>
      </c>
      <c r="AX91" s="20">
        <f t="shared" si="238"/>
        <v>124856</v>
      </c>
      <c r="AY91" s="20">
        <f t="shared" ref="AY91:BC91" si="239">AY88+AY90</f>
        <v>12486</v>
      </c>
      <c r="AZ91" s="20">
        <f t="shared" ref="AZ91:BB91" si="240">AZ88+AZ90</f>
        <v>61139</v>
      </c>
      <c r="BA91" s="20">
        <f t="shared" si="240"/>
        <v>59150</v>
      </c>
      <c r="BB91" s="20">
        <f t="shared" si="240"/>
        <v>57775</v>
      </c>
      <c r="BC91" s="20">
        <f t="shared" si="239"/>
        <v>-26346</v>
      </c>
      <c r="BD91" s="20">
        <f t="shared" ref="BD91:BE91" si="241">BD88+BD90</f>
        <v>77128</v>
      </c>
      <c r="BE91" s="20">
        <f t="shared" si="241"/>
        <v>112428</v>
      </c>
      <c r="BF91" s="20">
        <f t="shared" ref="BF91:BG91" si="242">BF88+BF90</f>
        <v>47305</v>
      </c>
      <c r="BG91" s="20">
        <f t="shared" si="242"/>
        <v>74614</v>
      </c>
      <c r="BH91" s="20">
        <f t="shared" ref="BH91:BM91" si="243">BH88+BH90</f>
        <v>124135</v>
      </c>
      <c r="BI91" s="20">
        <f t="shared" si="243"/>
        <v>44057</v>
      </c>
      <c r="BJ91" s="20">
        <f t="shared" si="243"/>
        <v>33821</v>
      </c>
      <c r="BK91" s="20">
        <f t="shared" si="243"/>
        <v>59065</v>
      </c>
      <c r="BL91" s="20">
        <f t="shared" si="243"/>
        <v>37228</v>
      </c>
      <c r="BM91" s="20">
        <f t="shared" si="243"/>
        <v>32676</v>
      </c>
      <c r="BN91" s="20">
        <f>BN88+BN90</f>
        <v>65471</v>
      </c>
      <c r="BO91" s="20">
        <v>25427</v>
      </c>
      <c r="BP91" s="20">
        <f>BP88+BP90</f>
        <v>17389.900000000001</v>
      </c>
      <c r="BQ91" s="20">
        <v>47479</v>
      </c>
      <c r="BR91" s="20">
        <f>BR88+BR90</f>
        <v>40566</v>
      </c>
      <c r="BS91" s="20">
        <v>72146</v>
      </c>
      <c r="BT91" s="20">
        <v>69756</v>
      </c>
      <c r="BU91" s="20">
        <f>+BU88+BU90</f>
        <v>133561</v>
      </c>
      <c r="BV91" s="20">
        <f t="shared" ref="BV91:BY91" si="244">+BV88+BV90</f>
        <v>91136</v>
      </c>
      <c r="BW91" s="20">
        <f t="shared" si="244"/>
        <v>85921</v>
      </c>
      <c r="BX91" s="20">
        <f t="shared" si="244"/>
        <v>112796</v>
      </c>
      <c r="BY91" s="20">
        <f t="shared" si="244"/>
        <v>85076.162020000003</v>
      </c>
      <c r="BZ91" s="20">
        <f t="shared" ref="BZ91:CB91" si="245">+BZ88+BZ90</f>
        <v>170676.04889999999</v>
      </c>
      <c r="CA91" s="20">
        <f t="shared" si="245"/>
        <v>79645.75099</v>
      </c>
      <c r="CB91" s="20">
        <f t="shared" si="245"/>
        <v>119824.03809</v>
      </c>
      <c r="CC91" s="20">
        <f t="shared" ref="CC91:CD91" si="246">+CC88+CC90</f>
        <v>46892</v>
      </c>
      <c r="CD91" s="20">
        <f t="shared" si="246"/>
        <v>31369</v>
      </c>
      <c r="CE91" s="20">
        <f t="shared" ref="CE91:CF91" si="247">+CE88+CE90</f>
        <v>81486</v>
      </c>
      <c r="CF91" s="20">
        <f t="shared" si="247"/>
        <v>44153</v>
      </c>
      <c r="CH91" s="20">
        <f t="shared" ref="CH91:DR91" si="248">CH88+CH90</f>
        <v>146428</v>
      </c>
      <c r="CI91" s="20">
        <f t="shared" si="248"/>
        <v>251019</v>
      </c>
      <c r="CJ91" s="20">
        <f t="shared" si="248"/>
        <v>335333</v>
      </c>
      <c r="CK91" s="20">
        <f t="shared" si="248"/>
        <v>229204</v>
      </c>
      <c r="CL91" s="20">
        <f t="shared" si="248"/>
        <v>355716</v>
      </c>
      <c r="CM91" s="20">
        <f t="shared" si="248"/>
        <v>493213</v>
      </c>
      <c r="CN91" s="20">
        <f t="shared" si="248"/>
        <v>335082</v>
      </c>
      <c r="CO91" s="20">
        <f t="shared" si="248"/>
        <v>530373</v>
      </c>
      <c r="CP91" s="20">
        <f t="shared" si="248"/>
        <v>710708</v>
      </c>
      <c r="CQ91" s="20">
        <f t="shared" si="248"/>
        <v>448717</v>
      </c>
      <c r="CR91" s="20">
        <f t="shared" si="248"/>
        <v>803428</v>
      </c>
      <c r="CS91" s="20">
        <f t="shared" si="248"/>
        <v>1364391</v>
      </c>
      <c r="CT91" s="20">
        <f t="shared" si="248"/>
        <v>830136</v>
      </c>
      <c r="CU91" s="20">
        <f t="shared" si="248"/>
        <v>1226796</v>
      </c>
      <c r="CV91" s="20">
        <f t="shared" si="248"/>
        <v>1546860</v>
      </c>
      <c r="CW91" s="20">
        <f t="shared" si="248"/>
        <v>533125</v>
      </c>
      <c r="CX91" s="20">
        <f t="shared" si="248"/>
        <v>830506</v>
      </c>
      <c r="CY91" s="20">
        <f t="shared" si="248"/>
        <v>1101316</v>
      </c>
      <c r="CZ91" s="20">
        <f t="shared" si="248"/>
        <v>930780</v>
      </c>
      <c r="DA91" s="20">
        <f t="shared" si="248"/>
        <v>1367067</v>
      </c>
      <c r="DB91" s="20">
        <f t="shared" si="248"/>
        <v>1794900</v>
      </c>
      <c r="DC91" s="20">
        <f t="shared" si="248"/>
        <v>874658</v>
      </c>
      <c r="DD91" s="20">
        <f t="shared" si="248"/>
        <v>1256954</v>
      </c>
      <c r="DE91" s="20">
        <f t="shared" si="248"/>
        <v>1560366</v>
      </c>
      <c r="DF91" s="20">
        <f t="shared" si="248"/>
        <v>750568</v>
      </c>
      <c r="DG91" s="20">
        <f t="shared" si="248"/>
        <v>1128014</v>
      </c>
      <c r="DH91" s="20">
        <f t="shared" si="248"/>
        <v>1239579</v>
      </c>
      <c r="DI91" s="20">
        <f t="shared" si="248"/>
        <v>258162</v>
      </c>
      <c r="DJ91" s="20">
        <f t="shared" si="248"/>
        <v>263281</v>
      </c>
      <c r="DK91" s="20">
        <f t="shared" si="248"/>
        <v>328675</v>
      </c>
      <c r="DL91" s="20">
        <f t="shared" si="248"/>
        <v>225201</v>
      </c>
      <c r="DM91" s="20">
        <f t="shared" si="248"/>
        <v>237687</v>
      </c>
      <c r="DN91" s="20">
        <f t="shared" si="248"/>
        <v>298826</v>
      </c>
      <c r="DO91" s="20">
        <f t="shared" si="248"/>
        <v>116925</v>
      </c>
      <c r="DP91" s="20">
        <f t="shared" si="248"/>
        <v>90579</v>
      </c>
      <c r="DQ91" s="20">
        <f t="shared" si="248"/>
        <v>167707</v>
      </c>
      <c r="DR91" s="20">
        <f t="shared" si="248"/>
        <v>159733</v>
      </c>
      <c r="DS91" s="20">
        <f t="shared" ref="DS91:DU91" si="249">DS88+DS90</f>
        <v>234347</v>
      </c>
      <c r="DT91" s="20">
        <f t="shared" si="249"/>
        <v>358482</v>
      </c>
      <c r="DU91" s="20">
        <f t="shared" si="249"/>
        <v>77878</v>
      </c>
      <c r="DV91" s="20">
        <f t="shared" ref="DV91:DX91" si="250">DV88+DV90</f>
        <v>136943</v>
      </c>
      <c r="DW91" s="20">
        <f t="shared" si="250"/>
        <v>174171</v>
      </c>
      <c r="DX91" s="20">
        <f t="shared" si="250"/>
        <v>98147</v>
      </c>
      <c r="DY91" s="20">
        <f t="shared" ref="DY91:EB91" si="251">DY88+DY90</f>
        <v>123574</v>
      </c>
      <c r="DZ91" s="20">
        <f t="shared" si="251"/>
        <v>140963.90000000002</v>
      </c>
      <c r="EA91" s="20">
        <f t="shared" si="251"/>
        <v>88045</v>
      </c>
      <c r="EB91" s="20">
        <f t="shared" si="251"/>
        <v>160191</v>
      </c>
      <c r="EC91" s="20">
        <f t="shared" ref="EC91:EF91" si="252">EC88+EC90</f>
        <v>229947</v>
      </c>
      <c r="ED91" s="20">
        <f t="shared" si="252"/>
        <v>224697</v>
      </c>
      <c r="EE91" s="20">
        <f t="shared" si="252"/>
        <v>310618</v>
      </c>
      <c r="EF91" s="20">
        <f t="shared" si="252"/>
        <v>423414</v>
      </c>
      <c r="EG91" s="20">
        <f t="shared" ref="EG91:EH91" si="253">EG88+EG90</f>
        <v>255752.2109200001</v>
      </c>
      <c r="EH91" s="20">
        <f t="shared" si="253"/>
        <v>335397.96191000007</v>
      </c>
      <c r="EI91" s="20">
        <f t="shared" ref="EI91:EK91" si="254">EI88+EI90</f>
        <v>455222.00000000012</v>
      </c>
      <c r="EJ91" s="20">
        <f t="shared" si="254"/>
        <v>78261</v>
      </c>
      <c r="EK91" s="20">
        <f t="shared" si="254"/>
        <v>159747</v>
      </c>
      <c r="EL91" s="20">
        <f t="shared" ref="EL91" si="255">EL88+EL90</f>
        <v>203900</v>
      </c>
    </row>
    <row r="92" spans="1:142" x14ac:dyDescent="0.3">
      <c r="B92" s="12"/>
      <c r="C92" s="119"/>
      <c r="D92" s="185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87"/>
      <c r="AN92" s="87"/>
      <c r="AO92" s="46"/>
      <c r="AP92" s="46"/>
      <c r="AQ92" s="47"/>
      <c r="AR92" s="47"/>
      <c r="AS92" s="47"/>
      <c r="AT92" s="47"/>
      <c r="AU92" s="47"/>
      <c r="AV92" s="47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</row>
    <row r="93" spans="1:142" ht="14.4" thickBot="1" x14ac:dyDescent="0.35">
      <c r="B93" s="120" t="s">
        <v>56</v>
      </c>
      <c r="C93" s="120" t="s">
        <v>430</v>
      </c>
      <c r="D93" s="191" t="str">
        <f>IF(Menu!$D$12="PT",'Dados Financeiros'!B93,'Dados Financeiros'!C93)</f>
        <v>Custo das vendas e serviços</v>
      </c>
      <c r="E93" s="43">
        <f t="shared" ref="E93:BP93" si="256">SUM(E94:E95)</f>
        <v>-40148</v>
      </c>
      <c r="F93" s="43">
        <f t="shared" si="256"/>
        <v>-50414</v>
      </c>
      <c r="G93" s="43">
        <f t="shared" si="256"/>
        <v>-67258</v>
      </c>
      <c r="H93" s="43">
        <f t="shared" si="256"/>
        <v>-55785</v>
      </c>
      <c r="I93" s="43">
        <f t="shared" si="256"/>
        <v>-57492</v>
      </c>
      <c r="J93" s="43">
        <f t="shared" si="256"/>
        <v>-93932</v>
      </c>
      <c r="K93" s="43">
        <f t="shared" si="256"/>
        <v>-79360</v>
      </c>
      <c r="L93" s="43">
        <f t="shared" si="256"/>
        <v>-89483</v>
      </c>
      <c r="M93" s="43">
        <f t="shared" si="256"/>
        <v>-89320</v>
      </c>
      <c r="N93" s="43">
        <f t="shared" si="256"/>
        <v>-124860</v>
      </c>
      <c r="O93" s="43">
        <f t="shared" si="256"/>
        <v>-124977</v>
      </c>
      <c r="P93" s="43">
        <f t="shared" si="256"/>
        <v>-123039</v>
      </c>
      <c r="Q93" s="43">
        <f t="shared" si="256"/>
        <v>-131029</v>
      </c>
      <c r="R93" s="43">
        <f t="shared" si="256"/>
        <v>-164614</v>
      </c>
      <c r="S93" s="43">
        <f t="shared" si="256"/>
        <v>-248198</v>
      </c>
      <c r="T93" s="43">
        <f t="shared" si="256"/>
        <v>-407459</v>
      </c>
      <c r="U93" s="43">
        <f t="shared" si="256"/>
        <v>-296131</v>
      </c>
      <c r="V93" s="43">
        <f t="shared" si="256"/>
        <v>-291170</v>
      </c>
      <c r="W93" s="43">
        <f t="shared" si="256"/>
        <v>-285062</v>
      </c>
      <c r="X93" s="43">
        <f t="shared" si="256"/>
        <v>-286699</v>
      </c>
      <c r="Y93" s="43">
        <f t="shared" si="256"/>
        <v>-225057</v>
      </c>
      <c r="Z93" s="43">
        <f t="shared" si="256"/>
        <v>-187567</v>
      </c>
      <c r="AA93" s="43">
        <f t="shared" si="256"/>
        <v>-309805</v>
      </c>
      <c r="AB93" s="43">
        <f t="shared" si="256"/>
        <v>-247337</v>
      </c>
      <c r="AC93" s="43">
        <f t="shared" si="256"/>
        <v>-318495</v>
      </c>
      <c r="AD93" s="43">
        <f t="shared" si="256"/>
        <v>-256453</v>
      </c>
      <c r="AE93" s="43">
        <f t="shared" si="256"/>
        <v>-293267</v>
      </c>
      <c r="AF93" s="43">
        <f t="shared" si="256"/>
        <v>-256217</v>
      </c>
      <c r="AG93" s="43">
        <f t="shared" si="256"/>
        <v>-300854</v>
      </c>
      <c r="AH93" s="43">
        <f t="shared" si="256"/>
        <v>-332366</v>
      </c>
      <c r="AI93" s="43">
        <f t="shared" si="256"/>
        <v>-298538</v>
      </c>
      <c r="AJ93" s="43">
        <f t="shared" si="256"/>
        <v>-317131</v>
      </c>
      <c r="AK93" s="43">
        <f t="shared" si="256"/>
        <v>-278042</v>
      </c>
      <c r="AL93" s="43">
        <f t="shared" si="256"/>
        <v>-337009</v>
      </c>
      <c r="AM93" s="43">
        <f t="shared" si="256"/>
        <v>-276081</v>
      </c>
      <c r="AN93" s="43">
        <f t="shared" si="256"/>
        <v>-222041</v>
      </c>
      <c r="AO93" s="43">
        <f t="shared" si="256"/>
        <v>-280932</v>
      </c>
      <c r="AP93" s="43">
        <f t="shared" si="256"/>
        <v>-248733</v>
      </c>
      <c r="AQ93" s="43">
        <f t="shared" si="256"/>
        <v>-271850</v>
      </c>
      <c r="AR93" s="43">
        <f t="shared" si="256"/>
        <v>-111086</v>
      </c>
      <c r="AS93" s="43">
        <f t="shared" si="256"/>
        <v>-139429</v>
      </c>
      <c r="AT93" s="43">
        <f t="shared" si="256"/>
        <v>-115071</v>
      </c>
      <c r="AU93" s="43">
        <f t="shared" si="256"/>
        <v>-52549</v>
      </c>
      <c r="AV93" s="43">
        <f t="shared" si="256"/>
        <v>-99337</v>
      </c>
      <c r="AW93" s="43">
        <f t="shared" si="256"/>
        <v>-114536</v>
      </c>
      <c r="AX93" s="43">
        <f t="shared" si="256"/>
        <v>-174918</v>
      </c>
      <c r="AY93" s="43">
        <f t="shared" si="256"/>
        <v>-30572</v>
      </c>
      <c r="AZ93" s="43">
        <f t="shared" si="256"/>
        <v>-89985</v>
      </c>
      <c r="BA93" s="43">
        <f t="shared" si="256"/>
        <v>-55961</v>
      </c>
      <c r="BB93" s="43">
        <f t="shared" si="256"/>
        <v>-64924</v>
      </c>
      <c r="BC93" s="43">
        <f t="shared" si="256"/>
        <v>-5666</v>
      </c>
      <c r="BD93" s="43">
        <f t="shared" si="256"/>
        <v>-74622</v>
      </c>
      <c r="BE93" s="43">
        <f t="shared" si="256"/>
        <v>-72888</v>
      </c>
      <c r="BF93" s="43">
        <f t="shared" si="256"/>
        <v>-54097</v>
      </c>
      <c r="BG93" s="43">
        <f t="shared" si="256"/>
        <v>-78959</v>
      </c>
      <c r="BH93" s="43">
        <f t="shared" si="256"/>
        <v>-121033</v>
      </c>
      <c r="BI93" s="43">
        <f t="shared" si="256"/>
        <v>-51308</v>
      </c>
      <c r="BJ93" s="43">
        <f t="shared" si="256"/>
        <v>-35680</v>
      </c>
      <c r="BK93" s="43">
        <f t="shared" si="256"/>
        <v>-64866</v>
      </c>
      <c r="BL93" s="43">
        <f t="shared" si="256"/>
        <v>-38477</v>
      </c>
      <c r="BM93" s="43">
        <f t="shared" si="256"/>
        <v>-27331</v>
      </c>
      <c r="BN93" s="43">
        <f t="shared" si="256"/>
        <v>-58812</v>
      </c>
      <c r="BO93" s="43">
        <f t="shared" si="256"/>
        <v>-27305.5</v>
      </c>
      <c r="BP93" s="43">
        <f t="shared" si="256"/>
        <v>-19311.39</v>
      </c>
      <c r="BQ93" s="43">
        <f t="shared" ref="BQ93:BT93" si="257">SUM(BQ94:BQ95)</f>
        <v>-42394</v>
      </c>
      <c r="BR93" s="43">
        <f t="shared" si="257"/>
        <v>-38691</v>
      </c>
      <c r="BS93" s="43">
        <f t="shared" si="257"/>
        <v>-61781</v>
      </c>
      <c r="BT93" s="43">
        <f t="shared" si="257"/>
        <v>-59257</v>
      </c>
      <c r="BU93" s="43">
        <f>SUM(BU94:BU95)</f>
        <v>-104805</v>
      </c>
      <c r="BV93" s="43">
        <f t="shared" ref="BV93:BW93" si="258">SUM(BV94:BV95)</f>
        <v>-76670</v>
      </c>
      <c r="BW93" s="43">
        <f t="shared" si="258"/>
        <v>-83104</v>
      </c>
      <c r="BX93" s="43">
        <f t="shared" ref="BX93:CA93" si="259">SUM(BX94:BX95)</f>
        <v>-137968</v>
      </c>
      <c r="BY93" s="43">
        <f t="shared" si="259"/>
        <v>-92846.162020000003</v>
      </c>
      <c r="BZ93" s="43">
        <f t="shared" si="259"/>
        <v>-176357.04889999999</v>
      </c>
      <c r="CA93" s="43">
        <f t="shared" si="259"/>
        <v>-90971.75099</v>
      </c>
      <c r="CB93" s="43">
        <f>SUM(CB94:CB95)</f>
        <v>-133335.03808999999</v>
      </c>
      <c r="CC93" s="43">
        <f>SUM(CC94:CC95)</f>
        <v>-51424</v>
      </c>
      <c r="CD93" s="43">
        <f>SUM(CD94:CD95)</f>
        <v>-61004</v>
      </c>
      <c r="CE93" s="43">
        <f>SUM(CE94:CE95)</f>
        <v>-78072</v>
      </c>
      <c r="CF93" s="43">
        <f>SUM(CF94:CF95)</f>
        <v>-47884</v>
      </c>
      <c r="CH93" s="43">
        <f t="shared" ref="CH93:CQ96" si="260">SUMIF($B$1:$CG$1,"&lt;="&amp;VALUE(RIGHT(CH$2,2)&amp;IF(LEFT(CH$2,2)="1S",2,IF(LEFT(CH$2,2)="9M",3,4))),$B93:$CG93)-
SUMIF($B$1:$CG$1,"&lt;"&amp;VALUE(RIGHT(CH$2,2))&amp;"0",$B93:$CG93)</f>
        <v>-90562</v>
      </c>
      <c r="CI93" s="43">
        <f t="shared" si="260"/>
        <v>-157820</v>
      </c>
      <c r="CJ93" s="43">
        <f t="shared" si="260"/>
        <v>-213605</v>
      </c>
      <c r="CK93" s="43">
        <f t="shared" si="260"/>
        <v>-151424</v>
      </c>
      <c r="CL93" s="43">
        <f t="shared" si="260"/>
        <v>-230784</v>
      </c>
      <c r="CM93" s="43">
        <f t="shared" si="260"/>
        <v>-320267</v>
      </c>
      <c r="CN93" s="43">
        <f t="shared" si="260"/>
        <v>-214180</v>
      </c>
      <c r="CO93" s="43">
        <f t="shared" si="260"/>
        <v>-339157</v>
      </c>
      <c r="CP93" s="43">
        <f t="shared" si="260"/>
        <v>-462196</v>
      </c>
      <c r="CQ93" s="43">
        <f t="shared" si="260"/>
        <v>-295643</v>
      </c>
      <c r="CR93" s="43">
        <f t="shared" ref="CR93:DA96" si="261">SUMIF($B$1:$CG$1,"&lt;="&amp;VALUE(RIGHT(CR$2,2)&amp;IF(LEFT(CR$2,2)="1S",2,IF(LEFT(CR$2,2)="9M",3,4))),$B93:$CG93)-
SUMIF($B$1:$CG$1,"&lt;"&amp;VALUE(RIGHT(CR$2,2))&amp;"0",$B93:$CG93)</f>
        <v>-543841</v>
      </c>
      <c r="CS93" s="43">
        <f t="shared" si="261"/>
        <v>-951300</v>
      </c>
      <c r="CT93" s="43">
        <f t="shared" si="261"/>
        <v>-587301</v>
      </c>
      <c r="CU93" s="43">
        <f t="shared" si="261"/>
        <v>-872363</v>
      </c>
      <c r="CV93" s="43">
        <f t="shared" si="261"/>
        <v>-1159062</v>
      </c>
      <c r="CW93" s="43">
        <f t="shared" si="261"/>
        <v>-434904</v>
      </c>
      <c r="CX93" s="43">
        <f t="shared" si="261"/>
        <v>-691357</v>
      </c>
      <c r="CY93" s="43">
        <f t="shared" si="261"/>
        <v>-947574</v>
      </c>
      <c r="CZ93" s="43">
        <f t="shared" si="261"/>
        <v>-633220</v>
      </c>
      <c r="DA93" s="43">
        <f t="shared" si="261"/>
        <v>-931758</v>
      </c>
      <c r="DB93" s="43">
        <f t="shared" ref="DB93:DK96" si="262">SUMIF($B$1:$CG$1,"&lt;="&amp;VALUE(RIGHT(DB$2,2)&amp;IF(LEFT(DB$2,2)="1S",2,IF(LEFT(DB$2,2)="9M",3,4))),$B93:$CG93)-
SUMIF($B$1:$CG$1,"&lt;"&amp;VALUE(RIGHT(DB$2,2))&amp;"0",$B93:$CG93)</f>
        <v>-1248889</v>
      </c>
      <c r="DC93" s="43">
        <f t="shared" si="262"/>
        <v>-615051</v>
      </c>
      <c r="DD93" s="43">
        <f t="shared" si="262"/>
        <v>-891132</v>
      </c>
      <c r="DE93" s="43">
        <f t="shared" si="262"/>
        <v>-1113173</v>
      </c>
      <c r="DF93" s="43">
        <f t="shared" si="262"/>
        <v>-529665</v>
      </c>
      <c r="DG93" s="43">
        <f t="shared" si="262"/>
        <v>-801515</v>
      </c>
      <c r="DH93" s="43">
        <f t="shared" si="262"/>
        <v>-912601</v>
      </c>
      <c r="DI93" s="43">
        <f t="shared" si="262"/>
        <v>-254500</v>
      </c>
      <c r="DJ93" s="43">
        <f t="shared" si="262"/>
        <v>-307049</v>
      </c>
      <c r="DK93" s="43">
        <f t="shared" si="262"/>
        <v>-406386</v>
      </c>
      <c r="DL93" s="43">
        <f t="shared" ref="DL93:DU96" si="263">SUMIF($B$1:$CG$1,"&lt;="&amp;VALUE(RIGHT(DL$2,2)&amp;IF(LEFT(DL$2,2)="1S",2,IF(LEFT(DL$2,2)="9M",3,4))),$B93:$CG93)-
SUMIF($B$1:$CG$1,"&lt;"&amp;VALUE(RIGHT(DL$2,2))&amp;"0",$B93:$CG93)</f>
        <v>-289454</v>
      </c>
      <c r="DM93" s="43">
        <f t="shared" si="263"/>
        <v>-320026</v>
      </c>
      <c r="DN93" s="43">
        <f t="shared" si="263"/>
        <v>-410011</v>
      </c>
      <c r="DO93" s="43">
        <f t="shared" si="263"/>
        <v>-120885</v>
      </c>
      <c r="DP93" s="43">
        <f t="shared" si="263"/>
        <v>-126551</v>
      </c>
      <c r="DQ93" s="43">
        <f t="shared" si="263"/>
        <v>-201173</v>
      </c>
      <c r="DR93" s="43">
        <f t="shared" si="263"/>
        <v>-126985</v>
      </c>
      <c r="DS93" s="43">
        <f t="shared" si="263"/>
        <v>-205944</v>
      </c>
      <c r="DT93" s="43">
        <f t="shared" si="263"/>
        <v>-326977</v>
      </c>
      <c r="DU93" s="43">
        <f t="shared" si="263"/>
        <v>-86988</v>
      </c>
      <c r="DV93" s="43">
        <f t="shared" ref="DV93:EE96" si="264">SUMIF($B$1:$CG$1,"&lt;="&amp;VALUE(RIGHT(DV$2,2)&amp;IF(LEFT(DV$2,2)="1S",2,IF(LEFT(DV$2,2)="9M",3,4))),$B93:$CG93)-
SUMIF($B$1:$CG$1,"&lt;"&amp;VALUE(RIGHT(DV$2,2))&amp;"0",$B93:$CG93)</f>
        <v>-151854</v>
      </c>
      <c r="DW93" s="43">
        <f t="shared" si="264"/>
        <v>-190331</v>
      </c>
      <c r="DX93" s="43">
        <f t="shared" si="264"/>
        <v>-86143</v>
      </c>
      <c r="DY93" s="43">
        <f t="shared" si="264"/>
        <v>-113448.5</v>
      </c>
      <c r="DZ93" s="43">
        <f t="shared" si="264"/>
        <v>-132759.8900000006</v>
      </c>
      <c r="EA93" s="43">
        <f t="shared" si="264"/>
        <v>-81085</v>
      </c>
      <c r="EB93" s="43">
        <f t="shared" si="264"/>
        <v>-142866</v>
      </c>
      <c r="EC93" s="43">
        <f t="shared" si="264"/>
        <v>-202123</v>
      </c>
      <c r="ED93" s="43">
        <f t="shared" si="264"/>
        <v>-181475</v>
      </c>
      <c r="EE93" s="43">
        <f t="shared" si="264"/>
        <v>-264579</v>
      </c>
      <c r="EF93" s="43">
        <f t="shared" ref="EF93:EL96" si="265">SUMIF($B$1:$CG$1,"&lt;="&amp;VALUE(RIGHT(EF$2,2)&amp;IF(LEFT(EF$2,2)="1S",2,IF(LEFT(EF$2,2)="9M",3,4))),$B93:$CG93)-
SUMIF($B$1:$CG$1,"&lt;"&amp;VALUE(RIGHT(EF$2,2))&amp;"0",$B93:$CG93)</f>
        <v>-402547</v>
      </c>
      <c r="EG93" s="43">
        <f t="shared" si="265"/>
        <v>-269203.21092000045</v>
      </c>
      <c r="EH93" s="43">
        <f t="shared" si="265"/>
        <v>-360174.96191000007</v>
      </c>
      <c r="EI93" s="43">
        <f t="shared" si="265"/>
        <v>-493510</v>
      </c>
      <c r="EJ93" s="43">
        <f t="shared" si="265"/>
        <v>-112428</v>
      </c>
      <c r="EK93" s="43">
        <f t="shared" si="265"/>
        <v>-190500</v>
      </c>
      <c r="EL93" s="43">
        <f t="shared" si="265"/>
        <v>-238384</v>
      </c>
    </row>
    <row r="94" spans="1:142" x14ac:dyDescent="0.3">
      <c r="B94" s="121" t="s">
        <v>55</v>
      </c>
      <c r="C94" s="121" t="s">
        <v>431</v>
      </c>
      <c r="D94" s="192" t="str">
        <f>IF(Menu!$D$12="PT",'Dados Financeiros'!B94,'Dados Financeiros'!C94)</f>
        <v>Custo dos imóveis vendidos</v>
      </c>
      <c r="E94" s="37">
        <v>-35878</v>
      </c>
      <c r="F94" s="37">
        <v>-43502</v>
      </c>
      <c r="G94" s="37">
        <v>-58824</v>
      </c>
      <c r="H94" s="37">
        <v>-47158</v>
      </c>
      <c r="I94" s="37">
        <v>-52320</v>
      </c>
      <c r="J94" s="37">
        <v>-88997</v>
      </c>
      <c r="K94" s="37">
        <v>-76834</v>
      </c>
      <c r="L94" s="37">
        <v>-87703</v>
      </c>
      <c r="M94" s="37">
        <v>-89063</v>
      </c>
      <c r="N94" s="37">
        <v>-122507</v>
      </c>
      <c r="O94" s="37">
        <v>-123638</v>
      </c>
      <c r="P94" s="37">
        <v>-122720</v>
      </c>
      <c r="Q94" s="37">
        <v>-130808</v>
      </c>
      <c r="R94" s="37">
        <v>-164027</v>
      </c>
      <c r="S94" s="37">
        <v>-247527</v>
      </c>
      <c r="T94" s="37">
        <v>-406749</v>
      </c>
      <c r="U94" s="37">
        <v>-295553</v>
      </c>
      <c r="V94" s="37">
        <v>-289680</v>
      </c>
      <c r="W94" s="37">
        <v>-284216</v>
      </c>
      <c r="X94" s="37">
        <v>-285894</v>
      </c>
      <c r="Y94" s="37">
        <v>-224170</v>
      </c>
      <c r="Z94" s="37">
        <v>-186680</v>
      </c>
      <c r="AA94" s="37">
        <v>-308856</v>
      </c>
      <c r="AB94" s="37">
        <v>-246388</v>
      </c>
      <c r="AC94" s="37">
        <v>-317818</v>
      </c>
      <c r="AD94" s="37">
        <v>-255776</v>
      </c>
      <c r="AE94" s="37">
        <v>-292383</v>
      </c>
      <c r="AF94" s="37">
        <v>-255333</v>
      </c>
      <c r="AG94" s="37">
        <v>-299985</v>
      </c>
      <c r="AH94" s="37">
        <v>-329932</v>
      </c>
      <c r="AI94" s="37">
        <v>-289772</v>
      </c>
      <c r="AJ94" s="37">
        <f>-1097848-129827-AI94-AH94-AG94</f>
        <v>-307986</v>
      </c>
      <c r="AK94" s="37">
        <v>-266199</v>
      </c>
      <c r="AL94" s="37">
        <v>-317173</v>
      </c>
      <c r="AM94" s="37">
        <v>-256391</v>
      </c>
      <c r="AN94" s="4">
        <v>-205317</v>
      </c>
      <c r="AO94" s="4">
        <v>-267570</v>
      </c>
      <c r="AP94" s="107">
        <v>-232222</v>
      </c>
      <c r="AQ94" s="4">
        <v>-259243</v>
      </c>
      <c r="AR94" s="4">
        <v>-95599</v>
      </c>
      <c r="AS94" s="4">
        <v>-127031</v>
      </c>
      <c r="AT94" s="4">
        <v>-99776</v>
      </c>
      <c r="AU94" s="4">
        <v>-40845</v>
      </c>
      <c r="AV94" s="4">
        <v>-90769</v>
      </c>
      <c r="AW94" s="4">
        <v>-107233</v>
      </c>
      <c r="AX94" s="4">
        <v>-168106</v>
      </c>
      <c r="AY94" s="4">
        <v>-24979</v>
      </c>
      <c r="AZ94" s="4">
        <v>-85223</v>
      </c>
      <c r="BA94" s="94">
        <v>-51724</v>
      </c>
      <c r="BB94" s="4">
        <v>-60681</v>
      </c>
      <c r="BC94" s="4">
        <v>-1947</v>
      </c>
      <c r="BD94" s="4">
        <v>-71416</v>
      </c>
      <c r="BE94" s="4">
        <v>-69363</v>
      </c>
      <c r="BF94" s="4">
        <v>-50701</v>
      </c>
      <c r="BG94" s="4">
        <v>-75861</v>
      </c>
      <c r="BH94" s="4">
        <v>-118420</v>
      </c>
      <c r="BI94" s="4">
        <v>-47784</v>
      </c>
      <c r="BJ94" s="4">
        <v>-32294</v>
      </c>
      <c r="BK94" s="4">
        <v>-60564</v>
      </c>
      <c r="BL94" s="4">
        <v>-35015</v>
      </c>
      <c r="BM94" s="4">
        <v>-22747</v>
      </c>
      <c r="BN94" s="4">
        <v>-52822</v>
      </c>
      <c r="BO94" s="4">
        <v>-21690.5</v>
      </c>
      <c r="BP94" s="4">
        <f>(-94519-5524-12619+0.11)-BO94-BN94-BM94</f>
        <v>-15402.39</v>
      </c>
      <c r="BQ94" s="4">
        <v>-38825</v>
      </c>
      <c r="BR94" s="4">
        <v>-34585</v>
      </c>
      <c r="BS94" s="4">
        <v>-56757</v>
      </c>
      <c r="BT94" s="4">
        <v>-53727</v>
      </c>
      <c r="BU94" s="4">
        <v>-104948</v>
      </c>
      <c r="BV94" s="4">
        <v>-79310</v>
      </c>
      <c r="BW94" s="4">
        <v>-81150</v>
      </c>
      <c r="BX94" s="4">
        <v>-136231</v>
      </c>
      <c r="BY94" s="4">
        <v>-90053</v>
      </c>
      <c r="BZ94" s="4">
        <v>-172359</v>
      </c>
      <c r="CA94" s="4">
        <v>-85451</v>
      </c>
      <c r="CB94" s="4">
        <v>-128143</v>
      </c>
      <c r="CC94" s="4">
        <v>-44072</v>
      </c>
      <c r="CD94" s="4">
        <v>-54842</v>
      </c>
      <c r="CE94" s="4">
        <v>-64786</v>
      </c>
      <c r="CF94" s="4">
        <v>-35463</v>
      </c>
      <c r="CH94" s="37">
        <f t="shared" si="260"/>
        <v>-79380</v>
      </c>
      <c r="CI94" s="37">
        <f t="shared" si="260"/>
        <v>-138204</v>
      </c>
      <c r="CJ94" s="37">
        <f t="shared" si="260"/>
        <v>-185362</v>
      </c>
      <c r="CK94" s="37">
        <f t="shared" si="260"/>
        <v>-141317</v>
      </c>
      <c r="CL94" s="37">
        <f t="shared" si="260"/>
        <v>-218151</v>
      </c>
      <c r="CM94" s="37">
        <f t="shared" si="260"/>
        <v>-305854</v>
      </c>
      <c r="CN94" s="37">
        <f t="shared" si="260"/>
        <v>-211570</v>
      </c>
      <c r="CO94" s="37">
        <f t="shared" si="260"/>
        <v>-335208</v>
      </c>
      <c r="CP94" s="37">
        <f t="shared" si="260"/>
        <v>-457928</v>
      </c>
      <c r="CQ94" s="37">
        <f t="shared" si="260"/>
        <v>-294835</v>
      </c>
      <c r="CR94" s="37">
        <f t="shared" si="261"/>
        <v>-542362</v>
      </c>
      <c r="CS94" s="37">
        <f t="shared" si="261"/>
        <v>-949111</v>
      </c>
      <c r="CT94" s="37">
        <f t="shared" si="261"/>
        <v>-585233</v>
      </c>
      <c r="CU94" s="37">
        <f t="shared" si="261"/>
        <v>-869449</v>
      </c>
      <c r="CV94" s="37">
        <f t="shared" si="261"/>
        <v>-1155343</v>
      </c>
      <c r="CW94" s="37">
        <f t="shared" si="261"/>
        <v>-433068</v>
      </c>
      <c r="CX94" s="37">
        <f t="shared" si="261"/>
        <v>-688844</v>
      </c>
      <c r="CY94" s="37">
        <f t="shared" si="261"/>
        <v>-944177</v>
      </c>
      <c r="CZ94" s="37">
        <f t="shared" si="261"/>
        <v>-629917</v>
      </c>
      <c r="DA94" s="37">
        <f t="shared" si="261"/>
        <v>-919689</v>
      </c>
      <c r="DB94" s="37">
        <f t="shared" si="262"/>
        <v>-1227675</v>
      </c>
      <c r="DC94" s="37">
        <f t="shared" si="262"/>
        <v>-583372</v>
      </c>
      <c r="DD94" s="37">
        <f t="shared" si="262"/>
        <v>-839763</v>
      </c>
      <c r="DE94" s="37">
        <f t="shared" si="262"/>
        <v>-1045080</v>
      </c>
      <c r="DF94" s="37">
        <f t="shared" si="262"/>
        <v>-499792</v>
      </c>
      <c r="DG94" s="37">
        <f t="shared" si="262"/>
        <v>-759035</v>
      </c>
      <c r="DH94" s="37">
        <f t="shared" si="262"/>
        <v>-854634</v>
      </c>
      <c r="DI94" s="37">
        <f t="shared" si="262"/>
        <v>-226807</v>
      </c>
      <c r="DJ94" s="37">
        <f t="shared" si="262"/>
        <v>-267652</v>
      </c>
      <c r="DK94" s="37">
        <f t="shared" si="262"/>
        <v>-358421</v>
      </c>
      <c r="DL94" s="37">
        <f t="shared" si="263"/>
        <v>-275339</v>
      </c>
      <c r="DM94" s="37">
        <f t="shared" si="263"/>
        <v>-300318</v>
      </c>
      <c r="DN94" s="37">
        <f t="shared" si="263"/>
        <v>-385541</v>
      </c>
      <c r="DO94" s="37">
        <f t="shared" si="263"/>
        <v>-112405</v>
      </c>
      <c r="DP94" s="37">
        <f t="shared" si="263"/>
        <v>-114352</v>
      </c>
      <c r="DQ94" s="37">
        <f t="shared" si="263"/>
        <v>-185768</v>
      </c>
      <c r="DR94" s="37">
        <f t="shared" si="263"/>
        <v>-120064</v>
      </c>
      <c r="DS94" s="37">
        <f t="shared" si="263"/>
        <v>-195925</v>
      </c>
      <c r="DT94" s="37">
        <f t="shared" si="263"/>
        <v>-314345</v>
      </c>
      <c r="DU94" s="37">
        <f t="shared" si="263"/>
        <v>-80078</v>
      </c>
      <c r="DV94" s="37">
        <f t="shared" si="264"/>
        <v>-140642</v>
      </c>
      <c r="DW94" s="37">
        <f t="shared" si="264"/>
        <v>-175657</v>
      </c>
      <c r="DX94" s="37">
        <f t="shared" si="264"/>
        <v>-75569</v>
      </c>
      <c r="DY94" s="37">
        <f t="shared" si="264"/>
        <v>-97259.5</v>
      </c>
      <c r="DZ94" s="37">
        <f t="shared" si="264"/>
        <v>-112661.8900000006</v>
      </c>
      <c r="EA94" s="37">
        <f t="shared" si="264"/>
        <v>-73410</v>
      </c>
      <c r="EB94" s="37">
        <f t="shared" si="264"/>
        <v>-130167</v>
      </c>
      <c r="EC94" s="37">
        <f t="shared" si="264"/>
        <v>-183894</v>
      </c>
      <c r="ED94" s="37">
        <f t="shared" si="264"/>
        <v>-184258</v>
      </c>
      <c r="EE94" s="37">
        <f t="shared" si="264"/>
        <v>-265408</v>
      </c>
      <c r="EF94" s="37">
        <f t="shared" si="265"/>
        <v>-401639</v>
      </c>
      <c r="EG94" s="37">
        <f t="shared" si="265"/>
        <v>-262412</v>
      </c>
      <c r="EH94" s="37">
        <f t="shared" si="265"/>
        <v>-347863</v>
      </c>
      <c r="EI94" s="37">
        <f t="shared" si="265"/>
        <v>-476006</v>
      </c>
      <c r="EJ94" s="37">
        <f t="shared" si="265"/>
        <v>-98914</v>
      </c>
      <c r="EK94" s="37">
        <f t="shared" si="265"/>
        <v>-163700</v>
      </c>
      <c r="EL94" s="37">
        <f t="shared" si="265"/>
        <v>-199163</v>
      </c>
    </row>
    <row r="95" spans="1:142" ht="14.4" thickBot="1" x14ac:dyDescent="0.35">
      <c r="B95" s="122" t="s">
        <v>54</v>
      </c>
      <c r="C95" s="122" t="s">
        <v>432</v>
      </c>
      <c r="D95" s="193" t="str">
        <f>IF(Menu!$D$12="PT",'Dados Financeiros'!B95,'Dados Financeiros'!C95)</f>
        <v>Custo dos serviços prestados</v>
      </c>
      <c r="E95" s="39">
        <v>-4270</v>
      </c>
      <c r="F95" s="39">
        <v>-6912</v>
      </c>
      <c r="G95" s="39">
        <v>-8434</v>
      </c>
      <c r="H95" s="39">
        <v>-8627</v>
      </c>
      <c r="I95" s="39">
        <v>-5172</v>
      </c>
      <c r="J95" s="39">
        <v>-4935</v>
      </c>
      <c r="K95" s="39">
        <v>-2526</v>
      </c>
      <c r="L95" s="39">
        <v>-1780</v>
      </c>
      <c r="M95" s="39">
        <v>-257</v>
      </c>
      <c r="N95" s="39">
        <v>-2353</v>
      </c>
      <c r="O95" s="39">
        <v>-1339</v>
      </c>
      <c r="P95" s="39">
        <v>-319</v>
      </c>
      <c r="Q95" s="39">
        <v>-221</v>
      </c>
      <c r="R95" s="39">
        <v>-587</v>
      </c>
      <c r="S95" s="39">
        <v>-671</v>
      </c>
      <c r="T95" s="39">
        <v>-710</v>
      </c>
      <c r="U95" s="39">
        <v>-578</v>
      </c>
      <c r="V95" s="39">
        <v>-1490</v>
      </c>
      <c r="W95" s="39">
        <v>-846</v>
      </c>
      <c r="X95" s="39">
        <v>-805</v>
      </c>
      <c r="Y95" s="39">
        <v>-887</v>
      </c>
      <c r="Z95" s="39">
        <v>-887</v>
      </c>
      <c r="AA95" s="39">
        <v>-949</v>
      </c>
      <c r="AB95" s="39">
        <v>-949</v>
      </c>
      <c r="AC95" s="39">
        <v>-677</v>
      </c>
      <c r="AD95" s="37">
        <v>-677</v>
      </c>
      <c r="AE95" s="39">
        <v>-884</v>
      </c>
      <c r="AF95" s="39">
        <v>-884</v>
      </c>
      <c r="AG95" s="39">
        <v>-869</v>
      </c>
      <c r="AH95" s="39">
        <v>-2434</v>
      </c>
      <c r="AI95" s="39">
        <v>-8766</v>
      </c>
      <c r="AJ95" s="37">
        <f>-21214-AI95-AH95-AG95</f>
        <v>-9145</v>
      </c>
      <c r="AK95" s="37">
        <v>-11843</v>
      </c>
      <c r="AL95" s="37">
        <v>-19836</v>
      </c>
      <c r="AM95" s="37">
        <v>-19690</v>
      </c>
      <c r="AN95" s="4">
        <v>-16724</v>
      </c>
      <c r="AO95" s="4">
        <v>-13362</v>
      </c>
      <c r="AP95" s="4">
        <v>-16511</v>
      </c>
      <c r="AQ95" s="4">
        <v>-12607</v>
      </c>
      <c r="AR95" s="4">
        <v>-15487</v>
      </c>
      <c r="AS95" s="4">
        <v>-12398</v>
      </c>
      <c r="AT95" s="4">
        <v>-15295</v>
      </c>
      <c r="AU95" s="4">
        <v>-11704</v>
      </c>
      <c r="AV95" s="4">
        <v>-8568</v>
      </c>
      <c r="AW95" s="4">
        <v>-7303</v>
      </c>
      <c r="AX95" s="4">
        <v>-6812</v>
      </c>
      <c r="AY95" s="4">
        <v>-5593</v>
      </c>
      <c r="AZ95" s="4">
        <v>-4762</v>
      </c>
      <c r="BA95" s="94">
        <v>-4237</v>
      </c>
      <c r="BB95" s="4">
        <v>-4243</v>
      </c>
      <c r="BC95" s="4">
        <v>-3719</v>
      </c>
      <c r="BD95" s="4">
        <v>-3206</v>
      </c>
      <c r="BE95" s="4">
        <v>-3525</v>
      </c>
      <c r="BF95" s="4">
        <v>-3396</v>
      </c>
      <c r="BG95" s="4">
        <v>-3098</v>
      </c>
      <c r="BH95" s="4">
        <v>-2613</v>
      </c>
      <c r="BI95" s="4">
        <v>-3524</v>
      </c>
      <c r="BJ95" s="4">
        <v>-3386</v>
      </c>
      <c r="BK95" s="4">
        <v>-4302</v>
      </c>
      <c r="BL95" s="4">
        <v>-3462</v>
      </c>
      <c r="BM95" s="4">
        <v>-4584</v>
      </c>
      <c r="BN95" s="4">
        <v>-5990</v>
      </c>
      <c r="BO95" s="4">
        <v>-5615</v>
      </c>
      <c r="BP95" s="4">
        <f>-20098-BO95-BN95-BM95</f>
        <v>-3909</v>
      </c>
      <c r="BQ95" s="4">
        <v>-3569</v>
      </c>
      <c r="BR95" s="4">
        <v>-4106</v>
      </c>
      <c r="BS95" s="4">
        <v>-5024</v>
      </c>
      <c r="BT95" s="4">
        <v>-5530</v>
      </c>
      <c r="BU95" s="4">
        <v>143</v>
      </c>
      <c r="BV95" s="4">
        <v>2640</v>
      </c>
      <c r="BW95" s="4">
        <v>-1954</v>
      </c>
      <c r="BX95" s="4">
        <v>-1737</v>
      </c>
      <c r="BY95" s="4">
        <v>-2793.1620200000016</v>
      </c>
      <c r="BZ95" s="4">
        <v>-3998.0488999999998</v>
      </c>
      <c r="CA95" s="4">
        <v>-5520.7509899999995</v>
      </c>
      <c r="CB95" s="4">
        <v>-5192.0380899999982</v>
      </c>
      <c r="CC95" s="4">
        <v>-7352</v>
      </c>
      <c r="CD95" s="4">
        <v>-6162</v>
      </c>
      <c r="CE95" s="4">
        <v>-13286</v>
      </c>
      <c r="CF95" s="4">
        <v>-12421</v>
      </c>
      <c r="CH95" s="39">
        <f t="shared" si="260"/>
        <v>-11182</v>
      </c>
      <c r="CI95" s="39">
        <f t="shared" si="260"/>
        <v>-19616</v>
      </c>
      <c r="CJ95" s="39">
        <f t="shared" si="260"/>
        <v>-28243</v>
      </c>
      <c r="CK95" s="39">
        <f t="shared" si="260"/>
        <v>-10107</v>
      </c>
      <c r="CL95" s="39">
        <f t="shared" si="260"/>
        <v>-12633</v>
      </c>
      <c r="CM95" s="39">
        <f t="shared" si="260"/>
        <v>-14413</v>
      </c>
      <c r="CN95" s="39">
        <f t="shared" si="260"/>
        <v>-2610</v>
      </c>
      <c r="CO95" s="39">
        <f t="shared" si="260"/>
        <v>-3949</v>
      </c>
      <c r="CP95" s="39">
        <f t="shared" si="260"/>
        <v>-4268</v>
      </c>
      <c r="CQ95" s="39">
        <f t="shared" si="260"/>
        <v>-808</v>
      </c>
      <c r="CR95" s="39">
        <f t="shared" si="261"/>
        <v>-1479</v>
      </c>
      <c r="CS95" s="39">
        <f t="shared" si="261"/>
        <v>-2189</v>
      </c>
      <c r="CT95" s="39">
        <f t="shared" si="261"/>
        <v>-2068</v>
      </c>
      <c r="CU95" s="39">
        <f t="shared" si="261"/>
        <v>-2914</v>
      </c>
      <c r="CV95" s="39">
        <f t="shared" si="261"/>
        <v>-3719</v>
      </c>
      <c r="CW95" s="39">
        <f t="shared" si="261"/>
        <v>-1836</v>
      </c>
      <c r="CX95" s="39">
        <f t="shared" si="261"/>
        <v>-2513</v>
      </c>
      <c r="CY95" s="39">
        <f t="shared" si="261"/>
        <v>-3397</v>
      </c>
      <c r="CZ95" s="39">
        <f t="shared" si="261"/>
        <v>-3303</v>
      </c>
      <c r="DA95" s="39">
        <f t="shared" si="261"/>
        <v>-12069</v>
      </c>
      <c r="DB95" s="39">
        <f t="shared" si="262"/>
        <v>-21214</v>
      </c>
      <c r="DC95" s="39">
        <f t="shared" si="262"/>
        <v>-31679</v>
      </c>
      <c r="DD95" s="39">
        <f t="shared" si="262"/>
        <v>-51369</v>
      </c>
      <c r="DE95" s="39">
        <f t="shared" si="262"/>
        <v>-68093</v>
      </c>
      <c r="DF95" s="39">
        <f t="shared" si="262"/>
        <v>-29873</v>
      </c>
      <c r="DG95" s="39">
        <f t="shared" si="262"/>
        <v>-42480</v>
      </c>
      <c r="DH95" s="39">
        <f t="shared" si="262"/>
        <v>-57967</v>
      </c>
      <c r="DI95" s="39">
        <f t="shared" si="262"/>
        <v>-27693</v>
      </c>
      <c r="DJ95" s="39">
        <f t="shared" si="262"/>
        <v>-39397</v>
      </c>
      <c r="DK95" s="39">
        <f t="shared" si="262"/>
        <v>-47965</v>
      </c>
      <c r="DL95" s="39">
        <f t="shared" si="263"/>
        <v>-14115</v>
      </c>
      <c r="DM95" s="39">
        <f t="shared" si="263"/>
        <v>-19708</v>
      </c>
      <c r="DN95" s="39">
        <f t="shared" si="263"/>
        <v>-24470</v>
      </c>
      <c r="DO95" s="39">
        <f t="shared" si="263"/>
        <v>-8480</v>
      </c>
      <c r="DP95" s="39">
        <f t="shared" si="263"/>
        <v>-12199</v>
      </c>
      <c r="DQ95" s="39">
        <f t="shared" si="263"/>
        <v>-15405</v>
      </c>
      <c r="DR95" s="39">
        <f t="shared" si="263"/>
        <v>-6921</v>
      </c>
      <c r="DS95" s="39">
        <f t="shared" si="263"/>
        <v>-10019</v>
      </c>
      <c r="DT95" s="39">
        <f t="shared" si="263"/>
        <v>-12632</v>
      </c>
      <c r="DU95" s="39">
        <f t="shared" si="263"/>
        <v>-6910</v>
      </c>
      <c r="DV95" s="39">
        <f t="shared" si="264"/>
        <v>-11212</v>
      </c>
      <c r="DW95" s="39">
        <f t="shared" si="264"/>
        <v>-14674</v>
      </c>
      <c r="DX95" s="39">
        <f t="shared" si="264"/>
        <v>-10574</v>
      </c>
      <c r="DY95" s="39">
        <f t="shared" si="264"/>
        <v>-16189</v>
      </c>
      <c r="DZ95" s="39">
        <f t="shared" si="264"/>
        <v>-20098</v>
      </c>
      <c r="EA95" s="39">
        <f t="shared" si="264"/>
        <v>-7675</v>
      </c>
      <c r="EB95" s="39">
        <f t="shared" si="264"/>
        <v>-12699</v>
      </c>
      <c r="EC95" s="39">
        <f t="shared" si="264"/>
        <v>-18229</v>
      </c>
      <c r="ED95" s="39">
        <f t="shared" si="264"/>
        <v>2783</v>
      </c>
      <c r="EE95" s="39">
        <f t="shared" si="264"/>
        <v>829</v>
      </c>
      <c r="EF95" s="39">
        <f t="shared" si="265"/>
        <v>-908</v>
      </c>
      <c r="EG95" s="39">
        <f t="shared" si="265"/>
        <v>-6791.2109199999832</v>
      </c>
      <c r="EH95" s="39">
        <f t="shared" si="265"/>
        <v>-12311.961909999955</v>
      </c>
      <c r="EI95" s="39">
        <f t="shared" si="265"/>
        <v>-17503.999999999942</v>
      </c>
      <c r="EJ95" s="39">
        <f t="shared" si="265"/>
        <v>-13514</v>
      </c>
      <c r="EK95" s="39">
        <f t="shared" si="265"/>
        <v>-26800</v>
      </c>
      <c r="EL95" s="39">
        <f t="shared" si="265"/>
        <v>-39221</v>
      </c>
    </row>
    <row r="96" spans="1:142" ht="14.4" thickBot="1" x14ac:dyDescent="0.35">
      <c r="B96" s="27" t="s">
        <v>37</v>
      </c>
      <c r="C96" s="118" t="s">
        <v>433</v>
      </c>
      <c r="D96" s="181" t="str">
        <f>IF(Menu!$D$12="PT",'Dados Financeiros'!B96,'Dados Financeiros'!C96)</f>
        <v>Lucro bruto</v>
      </c>
      <c r="E96" s="20">
        <f t="shared" ref="E96:AV96" si="266">E91+E93</f>
        <v>25742</v>
      </c>
      <c r="F96" s="20">
        <f t="shared" si="266"/>
        <v>30124</v>
      </c>
      <c r="G96" s="20">
        <f t="shared" si="266"/>
        <v>37333</v>
      </c>
      <c r="H96" s="20">
        <f t="shared" si="266"/>
        <v>28529</v>
      </c>
      <c r="I96" s="20">
        <f t="shared" si="266"/>
        <v>31482</v>
      </c>
      <c r="J96" s="20">
        <f t="shared" si="266"/>
        <v>46298</v>
      </c>
      <c r="K96" s="20">
        <f t="shared" si="266"/>
        <v>47152</v>
      </c>
      <c r="L96" s="20">
        <f t="shared" si="266"/>
        <v>48014</v>
      </c>
      <c r="M96" s="20">
        <f t="shared" si="266"/>
        <v>53289</v>
      </c>
      <c r="N96" s="20">
        <f t="shared" si="266"/>
        <v>67613</v>
      </c>
      <c r="O96" s="20">
        <f t="shared" si="266"/>
        <v>70314</v>
      </c>
      <c r="P96" s="20">
        <f t="shared" si="266"/>
        <v>57296</v>
      </c>
      <c r="Q96" s="20">
        <f t="shared" si="266"/>
        <v>67221</v>
      </c>
      <c r="R96" s="20">
        <f t="shared" si="266"/>
        <v>85853</v>
      </c>
      <c r="S96" s="20">
        <f t="shared" si="266"/>
        <v>106513</v>
      </c>
      <c r="T96" s="20">
        <f t="shared" si="266"/>
        <v>153504</v>
      </c>
      <c r="U96" s="20">
        <f t="shared" si="266"/>
        <v>120729</v>
      </c>
      <c r="V96" s="20">
        <f t="shared" si="266"/>
        <v>122106</v>
      </c>
      <c r="W96" s="20">
        <f t="shared" si="266"/>
        <v>111598</v>
      </c>
      <c r="X96" s="20">
        <f t="shared" si="266"/>
        <v>33365</v>
      </c>
      <c r="Y96" s="20">
        <f t="shared" si="266"/>
        <v>54150</v>
      </c>
      <c r="Z96" s="20">
        <f t="shared" si="266"/>
        <v>48268</v>
      </c>
      <c r="AA96" s="20">
        <f t="shared" si="266"/>
        <v>64118</v>
      </c>
      <c r="AB96" s="20">
        <f t="shared" si="266"/>
        <v>49953</v>
      </c>
      <c r="AC96" s="20">
        <f t="shared" si="266"/>
        <v>58811</v>
      </c>
      <c r="AD96" s="20">
        <f t="shared" si="266"/>
        <v>40928</v>
      </c>
      <c r="AE96" s="20">
        <f t="shared" si="266"/>
        <v>14165</v>
      </c>
      <c r="AF96" s="20">
        <f t="shared" si="266"/>
        <v>14593</v>
      </c>
      <c r="AG96" s="20">
        <f t="shared" si="266"/>
        <v>129233</v>
      </c>
      <c r="AH96" s="20">
        <f t="shared" si="266"/>
        <v>168327</v>
      </c>
      <c r="AI96" s="20">
        <f t="shared" si="266"/>
        <v>137749</v>
      </c>
      <c r="AJ96" s="20">
        <f t="shared" si="266"/>
        <v>110702</v>
      </c>
      <c r="AK96" s="20">
        <f t="shared" si="266"/>
        <v>93976</v>
      </c>
      <c r="AL96" s="20">
        <f t="shared" si="266"/>
        <v>165631</v>
      </c>
      <c r="AM96" s="20">
        <f t="shared" si="266"/>
        <v>106215</v>
      </c>
      <c r="AN96" s="20">
        <f t="shared" si="266"/>
        <v>81371</v>
      </c>
      <c r="AO96" s="20">
        <f t="shared" si="266"/>
        <v>101346</v>
      </c>
      <c r="AP96" s="20">
        <f t="shared" si="266"/>
        <v>119557</v>
      </c>
      <c r="AQ96" s="20">
        <f t="shared" si="266"/>
        <v>105596</v>
      </c>
      <c r="AR96" s="20">
        <f t="shared" si="266"/>
        <v>479</v>
      </c>
      <c r="AS96" s="20">
        <f t="shared" si="266"/>
        <v>18204</v>
      </c>
      <c r="AT96" s="20">
        <f t="shared" si="266"/>
        <v>-14542</v>
      </c>
      <c r="AU96" s="20">
        <f t="shared" si="266"/>
        <v>-47430</v>
      </c>
      <c r="AV96" s="20">
        <f t="shared" si="266"/>
        <v>-33943</v>
      </c>
      <c r="AW96" s="20">
        <f t="shared" ref="AW96:AX96" si="267">AW91+AW93</f>
        <v>-14191</v>
      </c>
      <c r="AX96" s="20">
        <f t="shared" si="267"/>
        <v>-50062</v>
      </c>
      <c r="AY96" s="20">
        <f t="shared" ref="AY96:BC96" si="268">AY91+AY93</f>
        <v>-18086</v>
      </c>
      <c r="AZ96" s="20">
        <f t="shared" ref="AZ96:BB96" si="269">AZ91+AZ93</f>
        <v>-28846</v>
      </c>
      <c r="BA96" s="20">
        <f t="shared" si="269"/>
        <v>3189</v>
      </c>
      <c r="BB96" s="20">
        <f t="shared" si="269"/>
        <v>-7149</v>
      </c>
      <c r="BC96" s="20">
        <f t="shared" si="268"/>
        <v>-32012</v>
      </c>
      <c r="BD96" s="20">
        <f t="shared" ref="BD96:BE96" si="270">BD91+BD93</f>
        <v>2506</v>
      </c>
      <c r="BE96" s="20">
        <f t="shared" si="270"/>
        <v>39540</v>
      </c>
      <c r="BF96" s="20">
        <f t="shared" ref="BF96:BG96" si="271">BF91+BF93</f>
        <v>-6792</v>
      </c>
      <c r="BG96" s="20">
        <f t="shared" si="271"/>
        <v>-4345</v>
      </c>
      <c r="BH96" s="20">
        <f t="shared" ref="BH96:BM96" si="272">BH91+BH93</f>
        <v>3102</v>
      </c>
      <c r="BI96" s="20">
        <f t="shared" si="272"/>
        <v>-7251</v>
      </c>
      <c r="BJ96" s="20">
        <f t="shared" si="272"/>
        <v>-1859</v>
      </c>
      <c r="BK96" s="20">
        <f t="shared" si="272"/>
        <v>-5801</v>
      </c>
      <c r="BL96" s="20">
        <f t="shared" si="272"/>
        <v>-1249</v>
      </c>
      <c r="BM96" s="20">
        <f t="shared" si="272"/>
        <v>5345</v>
      </c>
      <c r="BN96" s="20">
        <f>BN91+BN93</f>
        <v>6659</v>
      </c>
      <c r="BO96" s="20">
        <v>-1878.5</v>
      </c>
      <c r="BP96" s="20">
        <f>BP91+BP93</f>
        <v>-1921.489999999998</v>
      </c>
      <c r="BQ96" s="20">
        <v>5085</v>
      </c>
      <c r="BR96" s="20">
        <f>BR91+BR93</f>
        <v>1875</v>
      </c>
      <c r="BS96" s="20">
        <v>10365</v>
      </c>
      <c r="BT96" s="20">
        <v>10499</v>
      </c>
      <c r="BU96" s="20">
        <v>28756</v>
      </c>
      <c r="BV96" s="20">
        <v>14466</v>
      </c>
      <c r="BW96" s="20">
        <v>2817</v>
      </c>
      <c r="BX96" s="20">
        <f t="shared" ref="BX96:CC96" si="273">+BX91+BX93</f>
        <v>-25172</v>
      </c>
      <c r="BY96" s="20">
        <f t="shared" si="273"/>
        <v>-7770</v>
      </c>
      <c r="BZ96" s="20">
        <f t="shared" si="273"/>
        <v>-5681</v>
      </c>
      <c r="CA96" s="20">
        <f t="shared" si="273"/>
        <v>-11326</v>
      </c>
      <c r="CB96" s="20">
        <f t="shared" si="273"/>
        <v>-13510.999999999985</v>
      </c>
      <c r="CC96" s="20">
        <f t="shared" si="273"/>
        <v>-4532</v>
      </c>
      <c r="CD96" s="20">
        <f t="shared" ref="CD96:CE96" si="274">+CD91+CD93</f>
        <v>-29635</v>
      </c>
      <c r="CE96" s="20">
        <f t="shared" si="274"/>
        <v>3414</v>
      </c>
      <c r="CF96" s="20">
        <f t="shared" ref="CF96" si="275">+CF91+CF93</f>
        <v>-3731</v>
      </c>
      <c r="CH96" s="20">
        <f t="shared" si="260"/>
        <v>55866</v>
      </c>
      <c r="CI96" s="20">
        <f t="shared" si="260"/>
        <v>93199</v>
      </c>
      <c r="CJ96" s="20">
        <f t="shared" si="260"/>
        <v>121728</v>
      </c>
      <c r="CK96" s="20">
        <f t="shared" si="260"/>
        <v>77780</v>
      </c>
      <c r="CL96" s="20">
        <f t="shared" si="260"/>
        <v>124932</v>
      </c>
      <c r="CM96" s="20">
        <f t="shared" si="260"/>
        <v>172946</v>
      </c>
      <c r="CN96" s="20">
        <f t="shared" si="260"/>
        <v>120902</v>
      </c>
      <c r="CO96" s="20">
        <f t="shared" si="260"/>
        <v>191216</v>
      </c>
      <c r="CP96" s="20">
        <f t="shared" si="260"/>
        <v>248512</v>
      </c>
      <c r="CQ96" s="20">
        <f t="shared" si="260"/>
        <v>153074</v>
      </c>
      <c r="CR96" s="20">
        <f t="shared" si="261"/>
        <v>259587</v>
      </c>
      <c r="CS96" s="20">
        <f t="shared" si="261"/>
        <v>413091</v>
      </c>
      <c r="CT96" s="20">
        <f t="shared" si="261"/>
        <v>242835</v>
      </c>
      <c r="CU96" s="20">
        <f t="shared" si="261"/>
        <v>354433</v>
      </c>
      <c r="CV96" s="20">
        <f t="shared" si="261"/>
        <v>387798</v>
      </c>
      <c r="CW96" s="20">
        <f t="shared" si="261"/>
        <v>98221</v>
      </c>
      <c r="CX96" s="20">
        <f t="shared" si="261"/>
        <v>139149</v>
      </c>
      <c r="CY96" s="20">
        <f t="shared" si="261"/>
        <v>153742</v>
      </c>
      <c r="CZ96" s="20">
        <f t="shared" si="261"/>
        <v>297560</v>
      </c>
      <c r="DA96" s="20">
        <f t="shared" si="261"/>
        <v>435309</v>
      </c>
      <c r="DB96" s="20">
        <f t="shared" si="262"/>
        <v>546011</v>
      </c>
      <c r="DC96" s="20">
        <f t="shared" si="262"/>
        <v>259607</v>
      </c>
      <c r="DD96" s="20">
        <f t="shared" si="262"/>
        <v>365822</v>
      </c>
      <c r="DE96" s="20">
        <f t="shared" si="262"/>
        <v>447193</v>
      </c>
      <c r="DF96" s="20">
        <f t="shared" si="262"/>
        <v>220903</v>
      </c>
      <c r="DG96" s="20">
        <f t="shared" si="262"/>
        <v>326499</v>
      </c>
      <c r="DH96" s="20">
        <f t="shared" si="262"/>
        <v>326978</v>
      </c>
      <c r="DI96" s="20">
        <f t="shared" si="262"/>
        <v>3662</v>
      </c>
      <c r="DJ96" s="20">
        <f t="shared" si="262"/>
        <v>-43768</v>
      </c>
      <c r="DK96" s="20">
        <f t="shared" si="262"/>
        <v>-77711</v>
      </c>
      <c r="DL96" s="20">
        <f t="shared" si="263"/>
        <v>-64253</v>
      </c>
      <c r="DM96" s="20">
        <f t="shared" si="263"/>
        <v>-82339</v>
      </c>
      <c r="DN96" s="20">
        <f t="shared" si="263"/>
        <v>-111185</v>
      </c>
      <c r="DO96" s="20">
        <f t="shared" si="263"/>
        <v>-3960</v>
      </c>
      <c r="DP96" s="20">
        <f t="shared" si="263"/>
        <v>-35972</v>
      </c>
      <c r="DQ96" s="20">
        <f t="shared" si="263"/>
        <v>-33466</v>
      </c>
      <c r="DR96" s="20">
        <f t="shared" si="263"/>
        <v>32748</v>
      </c>
      <c r="DS96" s="20">
        <f t="shared" si="263"/>
        <v>28403</v>
      </c>
      <c r="DT96" s="20">
        <f t="shared" si="263"/>
        <v>31505</v>
      </c>
      <c r="DU96" s="20">
        <f t="shared" si="263"/>
        <v>-9110</v>
      </c>
      <c r="DV96" s="20">
        <f t="shared" si="264"/>
        <v>-14911</v>
      </c>
      <c r="DW96" s="20">
        <f t="shared" si="264"/>
        <v>-16160</v>
      </c>
      <c r="DX96" s="20">
        <f t="shared" si="264"/>
        <v>12004</v>
      </c>
      <c r="DY96" s="20">
        <f t="shared" si="264"/>
        <v>10125.5</v>
      </c>
      <c r="DZ96" s="20">
        <f t="shared" si="264"/>
        <v>8204.0099999997765</v>
      </c>
      <c r="EA96" s="20">
        <f t="shared" si="264"/>
        <v>6960</v>
      </c>
      <c r="EB96" s="20">
        <f t="shared" si="264"/>
        <v>17325</v>
      </c>
      <c r="EC96" s="20">
        <f t="shared" si="264"/>
        <v>27824</v>
      </c>
      <c r="ED96" s="20">
        <f t="shared" si="264"/>
        <v>43222</v>
      </c>
      <c r="EE96" s="20">
        <f t="shared" si="264"/>
        <v>46039</v>
      </c>
      <c r="EF96" s="20">
        <f t="shared" si="265"/>
        <v>20867</v>
      </c>
      <c r="EG96" s="20">
        <f t="shared" si="265"/>
        <v>-13451</v>
      </c>
      <c r="EH96" s="20">
        <f t="shared" si="265"/>
        <v>-24777</v>
      </c>
      <c r="EI96" s="20">
        <f t="shared" si="265"/>
        <v>-38288</v>
      </c>
      <c r="EJ96" s="20">
        <f t="shared" si="265"/>
        <v>-34167</v>
      </c>
      <c r="EK96" s="20">
        <f t="shared" si="265"/>
        <v>-30753</v>
      </c>
      <c r="EL96" s="20">
        <f t="shared" si="265"/>
        <v>-34484</v>
      </c>
    </row>
    <row r="97" spans="2:142" x14ac:dyDescent="0.3">
      <c r="B97" s="12"/>
      <c r="C97" s="119"/>
      <c r="D97" s="185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46"/>
      <c r="AT97" s="46"/>
      <c r="AU97" s="101"/>
      <c r="AV97" s="101"/>
      <c r="AW97" s="101"/>
      <c r="AX97" s="101"/>
      <c r="AY97" s="101"/>
      <c r="AZ97" s="101"/>
      <c r="BA97" s="101"/>
      <c r="BB97" s="101"/>
      <c r="BC97" s="101"/>
      <c r="BD97" s="101"/>
      <c r="BE97" s="101"/>
      <c r="BF97" s="101"/>
      <c r="BG97" s="101"/>
      <c r="BH97" s="101"/>
      <c r="BI97" s="101"/>
      <c r="BJ97" s="101"/>
      <c r="BK97" s="101"/>
      <c r="BL97" s="101"/>
      <c r="BM97" s="101"/>
      <c r="BN97" s="101"/>
      <c r="BO97" s="101"/>
      <c r="BP97" s="101"/>
      <c r="BQ97" s="101"/>
      <c r="BR97" s="101"/>
      <c r="BS97" s="101"/>
      <c r="BT97" s="101"/>
      <c r="BU97" s="101"/>
      <c r="BV97" s="101"/>
      <c r="BW97" s="101"/>
      <c r="BX97" s="101"/>
      <c r="BY97" s="101"/>
      <c r="BZ97" s="101"/>
      <c r="CA97" s="101"/>
      <c r="CB97" s="101"/>
      <c r="CC97" s="101"/>
      <c r="CD97" s="101"/>
      <c r="CE97" s="101"/>
      <c r="CF97" s="10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</row>
    <row r="98" spans="2:142" ht="14.4" thickBot="1" x14ac:dyDescent="0.35">
      <c r="B98" s="120" t="s">
        <v>53</v>
      </c>
      <c r="C98" s="120" t="s">
        <v>434</v>
      </c>
      <c r="D98" s="191" t="str">
        <f>IF(Menu!$D$12="PT",'Dados Financeiros'!B98,'Dados Financeiros'!C98)</f>
        <v>Receitas (despesas) operacionais</v>
      </c>
      <c r="E98" s="43">
        <f t="shared" ref="E98:AV98" si="276">SUM(E99:E103)</f>
        <v>-11482</v>
      </c>
      <c r="F98" s="43">
        <f t="shared" si="276"/>
        <v>-17227</v>
      </c>
      <c r="G98" s="43">
        <f t="shared" si="276"/>
        <v>-18038</v>
      </c>
      <c r="H98" s="43">
        <f t="shared" si="276"/>
        <v>-33299</v>
      </c>
      <c r="I98" s="43">
        <f t="shared" si="276"/>
        <v>-1939</v>
      </c>
      <c r="J98" s="43">
        <f t="shared" si="276"/>
        <v>-27660</v>
      </c>
      <c r="K98" s="43">
        <f t="shared" si="276"/>
        <v>-38088</v>
      </c>
      <c r="L98" s="43">
        <f t="shared" si="276"/>
        <v>-40598</v>
      </c>
      <c r="M98" s="43">
        <f t="shared" si="276"/>
        <v>-27856</v>
      </c>
      <c r="N98" s="43">
        <f t="shared" si="276"/>
        <v>-29797</v>
      </c>
      <c r="O98" s="43">
        <f t="shared" si="276"/>
        <v>-30592</v>
      </c>
      <c r="P98" s="43">
        <f t="shared" si="276"/>
        <v>-28727</v>
      </c>
      <c r="Q98" s="43">
        <f t="shared" si="276"/>
        <v>-28059</v>
      </c>
      <c r="R98" s="43">
        <f t="shared" si="276"/>
        <v>-35426</v>
      </c>
      <c r="S98" s="43">
        <f t="shared" si="276"/>
        <v>-44082</v>
      </c>
      <c r="T98" s="43">
        <f t="shared" si="276"/>
        <v>-64414</v>
      </c>
      <c r="U98" s="43">
        <f t="shared" si="276"/>
        <v>-53124</v>
      </c>
      <c r="V98" s="43">
        <f t="shared" si="276"/>
        <v>-58353</v>
      </c>
      <c r="W98" s="43">
        <f t="shared" si="276"/>
        <v>-54104</v>
      </c>
      <c r="X98" s="43">
        <f t="shared" si="276"/>
        <v>-72667</v>
      </c>
      <c r="Y98" s="43">
        <f t="shared" si="276"/>
        <v>-61950</v>
      </c>
      <c r="Z98" s="43">
        <f t="shared" si="276"/>
        <v>-53916</v>
      </c>
      <c r="AA98" s="43">
        <f t="shared" si="276"/>
        <v>-69161</v>
      </c>
      <c r="AB98" s="43">
        <f t="shared" si="276"/>
        <v>-48546</v>
      </c>
      <c r="AC98" s="43">
        <f t="shared" si="276"/>
        <v>-109573</v>
      </c>
      <c r="AD98" s="43">
        <f t="shared" si="276"/>
        <v>-87669</v>
      </c>
      <c r="AE98" s="43">
        <f t="shared" si="276"/>
        <v>-113227</v>
      </c>
      <c r="AF98" s="43">
        <f t="shared" si="276"/>
        <v>-108755</v>
      </c>
      <c r="AG98" s="43">
        <f t="shared" si="276"/>
        <v>-47436</v>
      </c>
      <c r="AH98" s="43">
        <f t="shared" si="276"/>
        <v>-59263</v>
      </c>
      <c r="AI98" s="43">
        <f t="shared" si="276"/>
        <v>-61420</v>
      </c>
      <c r="AJ98" s="43">
        <f t="shared" si="276"/>
        <v>-55833</v>
      </c>
      <c r="AK98" s="43">
        <f t="shared" si="276"/>
        <v>-60300</v>
      </c>
      <c r="AL98" s="43">
        <f t="shared" si="276"/>
        <v>-75999</v>
      </c>
      <c r="AM98" s="43">
        <f t="shared" si="276"/>
        <v>-59548</v>
      </c>
      <c r="AN98" s="43">
        <f t="shared" si="276"/>
        <v>-68173</v>
      </c>
      <c r="AO98" s="43">
        <f t="shared" si="276"/>
        <v>-67205</v>
      </c>
      <c r="AP98" s="43">
        <f t="shared" si="276"/>
        <v>-82380</v>
      </c>
      <c r="AQ98" s="43">
        <f t="shared" si="276"/>
        <v>-82704</v>
      </c>
      <c r="AR98" s="43">
        <f t="shared" si="276"/>
        <v>155234</v>
      </c>
      <c r="AS98" s="43">
        <f t="shared" si="276"/>
        <v>-23666</v>
      </c>
      <c r="AT98" s="43">
        <f t="shared" si="276"/>
        <v>-80204</v>
      </c>
      <c r="AU98" s="43">
        <f t="shared" si="276"/>
        <v>-66615</v>
      </c>
      <c r="AV98" s="43">
        <f t="shared" si="276"/>
        <v>-216881</v>
      </c>
      <c r="AW98" s="43">
        <f t="shared" ref="AW98:AX98" si="277">SUM(AW99:AW103)</f>
        <v>-47564</v>
      </c>
      <c r="AX98" s="43">
        <f t="shared" si="277"/>
        <v>-70665</v>
      </c>
      <c r="AY98" s="43">
        <f t="shared" ref="AY98:BC98" si="278">SUM(AY99:AY103)</f>
        <v>-108197</v>
      </c>
      <c r="AZ98" s="43">
        <f t="shared" ref="AZ98:BB98" si="279">SUM(AZ99:AZ103)</f>
        <v>-135939</v>
      </c>
      <c r="BA98" s="43">
        <f t="shared" si="279"/>
        <v>-40512</v>
      </c>
      <c r="BB98" s="43">
        <f t="shared" si="279"/>
        <v>-56570</v>
      </c>
      <c r="BC98" s="43">
        <f t="shared" si="278"/>
        <v>-35081</v>
      </c>
      <c r="BD98" s="43">
        <f t="shared" ref="BD98:BE98" si="280">SUM(BD99:BD103)</f>
        <v>-51069</v>
      </c>
      <c r="BE98" s="43">
        <f t="shared" si="280"/>
        <v>-28550</v>
      </c>
      <c r="BF98" s="43">
        <f t="shared" ref="BF98:BG98" si="281">SUM(BF99:BF103)</f>
        <v>-121372</v>
      </c>
      <c r="BG98" s="43">
        <f t="shared" si="281"/>
        <v>-39045</v>
      </c>
      <c r="BH98" s="43">
        <f t="shared" ref="BH98:BM98" si="282">SUM(BH99:BH103)</f>
        <v>-54772</v>
      </c>
      <c r="BI98" s="43">
        <f t="shared" si="282"/>
        <v>-45166</v>
      </c>
      <c r="BJ98" s="43">
        <f t="shared" si="282"/>
        <v>-37369</v>
      </c>
      <c r="BK98" s="43">
        <f t="shared" si="282"/>
        <v>-23125</v>
      </c>
      <c r="BL98" s="43">
        <f t="shared" si="282"/>
        <v>-20741</v>
      </c>
      <c r="BM98" s="43">
        <f t="shared" si="282"/>
        <v>-19272</v>
      </c>
      <c r="BN98" s="43">
        <f>SUM(BN99:BN103)</f>
        <v>-47751</v>
      </c>
      <c r="BO98" s="43">
        <v>-24451</v>
      </c>
      <c r="BP98" s="43">
        <f>SUM(BP99:BP103)</f>
        <v>-44840</v>
      </c>
      <c r="BQ98" s="43">
        <v>-2508</v>
      </c>
      <c r="BR98" s="43">
        <v>-6339</v>
      </c>
      <c r="BS98" s="43">
        <v>-6147</v>
      </c>
      <c r="BT98" s="43">
        <v>9841</v>
      </c>
      <c r="BU98" s="43">
        <v>-19216</v>
      </c>
      <c r="BV98" s="43">
        <v>-5028</v>
      </c>
      <c r="BW98" s="43">
        <v>-5783</v>
      </c>
      <c r="BX98" s="43">
        <f t="shared" ref="BX98:CD98" si="283">SUM(BX99:BX103)</f>
        <v>-25233</v>
      </c>
      <c r="BY98" s="43">
        <f t="shared" si="283"/>
        <v>-3234</v>
      </c>
      <c r="BZ98" s="43">
        <f t="shared" si="283"/>
        <v>-16875</v>
      </c>
      <c r="CA98" s="43">
        <f t="shared" si="283"/>
        <v>-16147</v>
      </c>
      <c r="CB98" s="43">
        <f t="shared" si="283"/>
        <v>-32885</v>
      </c>
      <c r="CC98" s="43">
        <f t="shared" si="283"/>
        <v>8411</v>
      </c>
      <c r="CD98" s="43">
        <f t="shared" si="283"/>
        <v>-14480</v>
      </c>
      <c r="CE98" s="43">
        <f t="shared" ref="CE98:CF98" si="284">SUM(CE99:CE103)</f>
        <v>5902</v>
      </c>
      <c r="CF98" s="43">
        <f t="shared" si="284"/>
        <v>-462</v>
      </c>
      <c r="CH98" s="43">
        <f t="shared" ref="CH98:CQ107" si="285">SUMIF($B$1:$CG$1,"&lt;="&amp;VALUE(RIGHT(CH$2,2)&amp;IF(LEFT(CH$2,2)="1S",2,IF(LEFT(CH$2,2)="9M",3,4))),$B98:$CG98)-
SUMIF($B$1:$CG$1,"&lt;"&amp;VALUE(RIGHT(CH$2,2))&amp;"0",$B98:$CG98)</f>
        <v>-28709</v>
      </c>
      <c r="CI98" s="43">
        <f t="shared" si="285"/>
        <v>-46747</v>
      </c>
      <c r="CJ98" s="43">
        <f t="shared" si="285"/>
        <v>-80046</v>
      </c>
      <c r="CK98" s="43">
        <f t="shared" si="285"/>
        <v>-29599</v>
      </c>
      <c r="CL98" s="43">
        <f t="shared" si="285"/>
        <v>-67687</v>
      </c>
      <c r="CM98" s="43">
        <f t="shared" si="285"/>
        <v>-108285</v>
      </c>
      <c r="CN98" s="43">
        <f t="shared" si="285"/>
        <v>-57653</v>
      </c>
      <c r="CO98" s="43">
        <f t="shared" si="285"/>
        <v>-88245</v>
      </c>
      <c r="CP98" s="43">
        <f t="shared" si="285"/>
        <v>-116972</v>
      </c>
      <c r="CQ98" s="43">
        <f t="shared" si="285"/>
        <v>-63485</v>
      </c>
      <c r="CR98" s="43">
        <f t="shared" ref="CR98:DA107" si="286">SUMIF($B$1:$CG$1,"&lt;="&amp;VALUE(RIGHT(CR$2,2)&amp;IF(LEFT(CR$2,2)="1S",2,IF(LEFT(CR$2,2)="9M",3,4))),$B98:$CG98)-
SUMIF($B$1:$CG$1,"&lt;"&amp;VALUE(RIGHT(CR$2,2))&amp;"0",$B98:$CG98)</f>
        <v>-107567</v>
      </c>
      <c r="CS98" s="43">
        <f t="shared" si="286"/>
        <v>-171981</v>
      </c>
      <c r="CT98" s="43">
        <f t="shared" si="286"/>
        <v>-111477</v>
      </c>
      <c r="CU98" s="43">
        <f t="shared" si="286"/>
        <v>-165581</v>
      </c>
      <c r="CV98" s="43">
        <f t="shared" si="286"/>
        <v>-238248</v>
      </c>
      <c r="CW98" s="43">
        <f t="shared" si="286"/>
        <v>-102462</v>
      </c>
      <c r="CX98" s="43">
        <f t="shared" si="286"/>
        <v>-190131</v>
      </c>
      <c r="CY98" s="43">
        <f t="shared" si="286"/>
        <v>-298886</v>
      </c>
      <c r="CZ98" s="43">
        <f t="shared" si="286"/>
        <v>-106699</v>
      </c>
      <c r="DA98" s="43">
        <f t="shared" si="286"/>
        <v>-168119</v>
      </c>
      <c r="DB98" s="43">
        <f t="shared" ref="DB98:DK107" si="287">SUMIF($B$1:$CG$1,"&lt;="&amp;VALUE(RIGHT(DB$2,2)&amp;IF(LEFT(DB$2,2)="1S",2,IF(LEFT(DB$2,2)="9M",3,4))),$B98:$CG98)-
SUMIF($B$1:$CG$1,"&lt;"&amp;VALUE(RIGHT(DB$2,2))&amp;"0",$B98:$CG98)</f>
        <v>-223952</v>
      </c>
      <c r="DC98" s="43">
        <f t="shared" si="287"/>
        <v>-136299</v>
      </c>
      <c r="DD98" s="43">
        <f t="shared" si="287"/>
        <v>-195847</v>
      </c>
      <c r="DE98" s="43">
        <f t="shared" si="287"/>
        <v>-264020</v>
      </c>
      <c r="DF98" s="43">
        <f t="shared" si="287"/>
        <v>-149585</v>
      </c>
      <c r="DG98" s="43">
        <f t="shared" si="287"/>
        <v>-232289</v>
      </c>
      <c r="DH98" s="43">
        <f t="shared" si="287"/>
        <v>-77055</v>
      </c>
      <c r="DI98" s="43">
        <f t="shared" si="287"/>
        <v>-103870</v>
      </c>
      <c r="DJ98" s="43">
        <f t="shared" si="287"/>
        <v>-170485</v>
      </c>
      <c r="DK98" s="43">
        <f t="shared" si="287"/>
        <v>-387366</v>
      </c>
      <c r="DL98" s="43">
        <f t="shared" ref="DL98:DU107" si="288">SUMIF($B$1:$CG$1,"&lt;="&amp;VALUE(RIGHT(DL$2,2)&amp;IF(LEFT(DL$2,2)="1S",2,IF(LEFT(DL$2,2)="9M",3,4))),$B98:$CG98)-
SUMIF($B$1:$CG$1,"&lt;"&amp;VALUE(RIGHT(DL$2,2))&amp;"0",$B98:$CG98)</f>
        <v>-118229</v>
      </c>
      <c r="DM98" s="43">
        <f t="shared" si="288"/>
        <v>-226426</v>
      </c>
      <c r="DN98" s="43">
        <f t="shared" si="288"/>
        <v>-362365</v>
      </c>
      <c r="DO98" s="43">
        <f t="shared" si="288"/>
        <v>-97082</v>
      </c>
      <c r="DP98" s="43">
        <f t="shared" si="288"/>
        <v>-132163</v>
      </c>
      <c r="DQ98" s="43">
        <f t="shared" si="288"/>
        <v>-183232</v>
      </c>
      <c r="DR98" s="43">
        <f t="shared" si="288"/>
        <v>-149922</v>
      </c>
      <c r="DS98" s="43">
        <f t="shared" si="288"/>
        <v>-188967</v>
      </c>
      <c r="DT98" s="43">
        <f t="shared" si="288"/>
        <v>-243739</v>
      </c>
      <c r="DU98" s="43">
        <f t="shared" si="288"/>
        <v>-82535</v>
      </c>
      <c r="DV98" s="43">
        <f t="shared" ref="DV98:EE107" si="289">SUMIF($B$1:$CG$1,"&lt;="&amp;VALUE(RIGHT(DV$2,2)&amp;IF(LEFT(DV$2,2)="1S",2,IF(LEFT(DV$2,2)="9M",3,4))),$B98:$CG98)-
SUMIF($B$1:$CG$1,"&lt;"&amp;VALUE(RIGHT(DV$2,2))&amp;"0",$B98:$CG98)</f>
        <v>-105660</v>
      </c>
      <c r="DW98" s="43">
        <f t="shared" si="289"/>
        <v>-126401</v>
      </c>
      <c r="DX98" s="43">
        <f t="shared" si="289"/>
        <v>-67023</v>
      </c>
      <c r="DY98" s="43">
        <f t="shared" si="289"/>
        <v>-91474</v>
      </c>
      <c r="DZ98" s="43">
        <f t="shared" si="289"/>
        <v>-136314</v>
      </c>
      <c r="EA98" s="43">
        <f t="shared" si="289"/>
        <v>-8847</v>
      </c>
      <c r="EB98" s="43">
        <f t="shared" si="289"/>
        <v>-14994</v>
      </c>
      <c r="EC98" s="43">
        <f t="shared" si="289"/>
        <v>-5153</v>
      </c>
      <c r="ED98" s="43">
        <f t="shared" si="289"/>
        <v>-24244</v>
      </c>
      <c r="EE98" s="43">
        <f t="shared" si="289"/>
        <v>-30027</v>
      </c>
      <c r="EF98" s="43">
        <f t="shared" ref="EF98:EL107" si="290">SUMIF($B$1:$CG$1,"&lt;="&amp;VALUE(RIGHT(EF$2,2)&amp;IF(LEFT(EF$2,2)="1S",2,IF(LEFT(EF$2,2)="9M",3,4))),$B98:$CG98)-
SUMIF($B$1:$CG$1,"&lt;"&amp;VALUE(RIGHT(EF$2,2))&amp;"0",$B98:$CG98)</f>
        <v>-55260</v>
      </c>
      <c r="EG98" s="43">
        <f t="shared" si="290"/>
        <v>-20109</v>
      </c>
      <c r="EH98" s="43">
        <f t="shared" si="290"/>
        <v>-36256</v>
      </c>
      <c r="EI98" s="43">
        <f t="shared" si="290"/>
        <v>-69141</v>
      </c>
      <c r="EJ98" s="43">
        <f t="shared" si="290"/>
        <v>-6069</v>
      </c>
      <c r="EK98" s="43">
        <f t="shared" si="290"/>
        <v>-167</v>
      </c>
      <c r="EL98" s="43">
        <f t="shared" si="290"/>
        <v>-629</v>
      </c>
    </row>
    <row r="99" spans="2:142" x14ac:dyDescent="0.3">
      <c r="B99" s="139" t="s">
        <v>52</v>
      </c>
      <c r="C99" s="123" t="s">
        <v>435</v>
      </c>
      <c r="D99" s="192" t="str">
        <f>IF(Menu!$D$12="PT",'Dados Financeiros'!B99,'Dados Financeiros'!C99)</f>
        <v>Vendas</v>
      </c>
      <c r="E99" s="37">
        <v>-3326</v>
      </c>
      <c r="F99" s="37">
        <v>-6155</v>
      </c>
      <c r="G99" s="37">
        <v>-8579</v>
      </c>
      <c r="H99" s="37">
        <v>-17354</v>
      </c>
      <c r="I99" s="37">
        <v>-9836</v>
      </c>
      <c r="J99" s="37">
        <v>-14787</v>
      </c>
      <c r="K99" s="37">
        <v>-20448</v>
      </c>
      <c r="L99" s="37">
        <f>-15667</f>
        <v>-15667</v>
      </c>
      <c r="M99" s="37">
        <f>-9103-2381</f>
        <v>-11484</v>
      </c>
      <c r="N99" s="37">
        <f>-14773</f>
        <v>-14773</v>
      </c>
      <c r="O99" s="37">
        <v>-12345</v>
      </c>
      <c r="P99" s="37">
        <v>-9039</v>
      </c>
      <c r="Q99" s="37">
        <v>-9565</v>
      </c>
      <c r="R99" s="37">
        <v>-13112</v>
      </c>
      <c r="S99" s="37">
        <v>-17771</v>
      </c>
      <c r="T99" s="37">
        <v>-26472</v>
      </c>
      <c r="U99" s="37">
        <v>-21784</v>
      </c>
      <c r="V99" s="37">
        <v>-27744</v>
      </c>
      <c r="W99" s="37">
        <v>-17131</v>
      </c>
      <c r="X99" s="37">
        <v>-21898</v>
      </c>
      <c r="Y99" s="37">
        <v>-18036</v>
      </c>
      <c r="Z99" s="37">
        <v>-15428</v>
      </c>
      <c r="AA99" s="37">
        <v>-18435</v>
      </c>
      <c r="AB99" s="37">
        <v>-14245</v>
      </c>
      <c r="AC99" s="37">
        <v>-22602</v>
      </c>
      <c r="AD99" s="37">
        <f>-47522-AB99-Z99</f>
        <v>-17849</v>
      </c>
      <c r="AE99" s="37">
        <v>-32071</v>
      </c>
      <c r="AF99" s="37">
        <v>-29520</v>
      </c>
      <c r="AG99" s="37">
        <v>-18288</v>
      </c>
      <c r="AH99" s="37">
        <v>-23225</v>
      </c>
      <c r="AI99" s="37">
        <v>-20561</v>
      </c>
      <c r="AJ99" s="37">
        <v>-20509</v>
      </c>
      <c r="AK99" s="37">
        <v>-14856</v>
      </c>
      <c r="AL99" s="37">
        <v>-22184</v>
      </c>
      <c r="AM99" s="37">
        <v>-12985</v>
      </c>
      <c r="AN99" s="4">
        <v>-11144</v>
      </c>
      <c r="AO99" s="4">
        <v>-9648</v>
      </c>
      <c r="AP99" s="4">
        <v>-14029</v>
      </c>
      <c r="AQ99" s="4">
        <v>-16487</v>
      </c>
      <c r="AR99" s="4">
        <v>-10845</v>
      </c>
      <c r="AS99" s="4">
        <v>-8085</v>
      </c>
      <c r="AT99" s="4">
        <v>-8353</v>
      </c>
      <c r="AU99" s="4">
        <v>-8024</v>
      </c>
      <c r="AV99" s="4">
        <v>-10290</v>
      </c>
      <c r="AW99" s="4">
        <v>-6981</v>
      </c>
      <c r="AX99" s="4">
        <v>-9845</v>
      </c>
      <c r="AY99" s="4">
        <v>-9818</v>
      </c>
      <c r="AZ99" s="4">
        <v>-7173</v>
      </c>
      <c r="BA99" s="94">
        <v>-3924</v>
      </c>
      <c r="BB99" s="4">
        <v>-6574</v>
      </c>
      <c r="BC99" s="4">
        <v>-3926</v>
      </c>
      <c r="BD99" s="4">
        <v>-5775</v>
      </c>
      <c r="BE99" s="4">
        <v>-3543</v>
      </c>
      <c r="BF99" s="4">
        <v>-5628</v>
      </c>
      <c r="BG99" s="4">
        <v>-5278</v>
      </c>
      <c r="BH99" s="4">
        <v>-5841</v>
      </c>
      <c r="BI99" s="4">
        <v>-4652</v>
      </c>
      <c r="BJ99" s="4">
        <v>-3261</v>
      </c>
      <c r="BK99" s="4">
        <v>-4740</v>
      </c>
      <c r="BL99" s="4">
        <v>-5624</v>
      </c>
      <c r="BM99" s="4">
        <v>-6786</v>
      </c>
      <c r="BN99" s="4">
        <v>-6283</v>
      </c>
      <c r="BO99" s="4">
        <v>-9028</v>
      </c>
      <c r="BP99" s="4">
        <v>-10328</v>
      </c>
      <c r="BQ99" s="4">
        <v>-5902</v>
      </c>
      <c r="BR99" s="4">
        <v>-8995</v>
      </c>
      <c r="BS99" s="4">
        <v>-7119</v>
      </c>
      <c r="BT99" s="4">
        <v>-7541</v>
      </c>
      <c r="BU99" s="4">
        <v>-7544</v>
      </c>
      <c r="BV99" s="4">
        <v>-6587</v>
      </c>
      <c r="BW99" s="4">
        <v>-5296</v>
      </c>
      <c r="BX99" s="4">
        <v>-7934</v>
      </c>
      <c r="BY99" s="4">
        <v>-5500</v>
      </c>
      <c r="BZ99" s="4">
        <v>-5367</v>
      </c>
      <c r="CA99" s="4">
        <v>-6779</v>
      </c>
      <c r="CB99" s="4">
        <v>-5127</v>
      </c>
      <c r="CC99" s="4">
        <v>-3236</v>
      </c>
      <c r="CD99" s="4">
        <v>-3452</v>
      </c>
      <c r="CE99" s="4">
        <v>-4227</v>
      </c>
      <c r="CF99" s="4">
        <v>-2264</v>
      </c>
      <c r="CH99" s="37">
        <f t="shared" si="285"/>
        <v>-9481</v>
      </c>
      <c r="CI99" s="37">
        <f t="shared" si="285"/>
        <v>-18060</v>
      </c>
      <c r="CJ99" s="37">
        <f t="shared" si="285"/>
        <v>-35414</v>
      </c>
      <c r="CK99" s="37">
        <f t="shared" si="285"/>
        <v>-24623</v>
      </c>
      <c r="CL99" s="37">
        <f t="shared" si="285"/>
        <v>-45071</v>
      </c>
      <c r="CM99" s="37">
        <f t="shared" si="285"/>
        <v>-60738</v>
      </c>
      <c r="CN99" s="37">
        <f t="shared" si="285"/>
        <v>-26257</v>
      </c>
      <c r="CO99" s="37">
        <f t="shared" si="285"/>
        <v>-38602</v>
      </c>
      <c r="CP99" s="37">
        <f t="shared" si="285"/>
        <v>-47641</v>
      </c>
      <c r="CQ99" s="37">
        <f t="shared" si="285"/>
        <v>-22677</v>
      </c>
      <c r="CR99" s="37">
        <f t="shared" si="286"/>
        <v>-40448</v>
      </c>
      <c r="CS99" s="37">
        <f t="shared" si="286"/>
        <v>-66920</v>
      </c>
      <c r="CT99" s="37">
        <f t="shared" si="286"/>
        <v>-49528</v>
      </c>
      <c r="CU99" s="37">
        <f t="shared" si="286"/>
        <v>-66659</v>
      </c>
      <c r="CV99" s="37">
        <f t="shared" si="286"/>
        <v>-88557</v>
      </c>
      <c r="CW99" s="37">
        <f t="shared" si="286"/>
        <v>-29673</v>
      </c>
      <c r="CX99" s="37">
        <f t="shared" si="286"/>
        <v>-47522</v>
      </c>
      <c r="CY99" s="37">
        <f t="shared" si="286"/>
        <v>-77042</v>
      </c>
      <c r="CZ99" s="37">
        <f t="shared" si="286"/>
        <v>-41513</v>
      </c>
      <c r="DA99" s="37">
        <f t="shared" si="286"/>
        <v>-62074</v>
      </c>
      <c r="DB99" s="37">
        <f t="shared" si="287"/>
        <v>-82583</v>
      </c>
      <c r="DC99" s="37">
        <f t="shared" si="287"/>
        <v>-37040</v>
      </c>
      <c r="DD99" s="37">
        <f t="shared" si="287"/>
        <v>-50025</v>
      </c>
      <c r="DE99" s="37">
        <f t="shared" si="287"/>
        <v>-61169</v>
      </c>
      <c r="DF99" s="37">
        <f t="shared" si="287"/>
        <v>-23677</v>
      </c>
      <c r="DG99" s="37">
        <f t="shared" si="287"/>
        <v>-40164</v>
      </c>
      <c r="DH99" s="37">
        <f t="shared" si="287"/>
        <v>-51009</v>
      </c>
      <c r="DI99" s="37">
        <f t="shared" si="287"/>
        <v>-16438</v>
      </c>
      <c r="DJ99" s="37">
        <f t="shared" si="287"/>
        <v>-24462</v>
      </c>
      <c r="DK99" s="37">
        <f t="shared" si="287"/>
        <v>-34752</v>
      </c>
      <c r="DL99" s="37">
        <f t="shared" si="288"/>
        <v>-16826</v>
      </c>
      <c r="DM99" s="37">
        <f t="shared" si="288"/>
        <v>-26644</v>
      </c>
      <c r="DN99" s="37">
        <f t="shared" si="288"/>
        <v>-33817</v>
      </c>
      <c r="DO99" s="37">
        <f t="shared" si="288"/>
        <v>-10498</v>
      </c>
      <c r="DP99" s="37">
        <f t="shared" si="288"/>
        <v>-14424</v>
      </c>
      <c r="DQ99" s="37">
        <f t="shared" si="288"/>
        <v>-20199</v>
      </c>
      <c r="DR99" s="37">
        <f t="shared" si="288"/>
        <v>-9171</v>
      </c>
      <c r="DS99" s="37">
        <f t="shared" si="288"/>
        <v>-14449</v>
      </c>
      <c r="DT99" s="37">
        <f t="shared" si="288"/>
        <v>-20290</v>
      </c>
      <c r="DU99" s="37">
        <f t="shared" si="288"/>
        <v>-7913</v>
      </c>
      <c r="DV99" s="37">
        <f t="shared" si="289"/>
        <v>-12653</v>
      </c>
      <c r="DW99" s="37">
        <f t="shared" si="289"/>
        <v>-18277</v>
      </c>
      <c r="DX99" s="37">
        <f t="shared" si="289"/>
        <v>-13069</v>
      </c>
      <c r="DY99" s="37">
        <f t="shared" si="289"/>
        <v>-22097</v>
      </c>
      <c r="DZ99" s="37">
        <f t="shared" si="289"/>
        <v>-32425</v>
      </c>
      <c r="EA99" s="37">
        <f t="shared" si="289"/>
        <v>-14897</v>
      </c>
      <c r="EB99" s="37">
        <f t="shared" si="289"/>
        <v>-22016</v>
      </c>
      <c r="EC99" s="37">
        <f t="shared" si="289"/>
        <v>-29557</v>
      </c>
      <c r="ED99" s="37">
        <f t="shared" si="289"/>
        <v>-14131</v>
      </c>
      <c r="EE99" s="37">
        <f t="shared" si="289"/>
        <v>-19427</v>
      </c>
      <c r="EF99" s="37">
        <f t="shared" si="290"/>
        <v>-27361</v>
      </c>
      <c r="EG99" s="37">
        <f t="shared" si="290"/>
        <v>-10867</v>
      </c>
      <c r="EH99" s="37">
        <f t="shared" si="290"/>
        <v>-17646</v>
      </c>
      <c r="EI99" s="37">
        <f t="shared" si="290"/>
        <v>-22773</v>
      </c>
      <c r="EJ99" s="37">
        <f t="shared" si="290"/>
        <v>-6688</v>
      </c>
      <c r="EK99" s="37">
        <f t="shared" si="290"/>
        <v>-10915</v>
      </c>
      <c r="EL99" s="37">
        <f t="shared" si="290"/>
        <v>-13179</v>
      </c>
    </row>
    <row r="100" spans="2:142" x14ac:dyDescent="0.3">
      <c r="B100" s="124" t="s">
        <v>51</v>
      </c>
      <c r="C100" s="124" t="s">
        <v>436</v>
      </c>
      <c r="D100" s="192" t="str">
        <f>IF(Menu!$D$12="PT",'Dados Financeiros'!B100,'Dados Financeiros'!C100)</f>
        <v>Gerais e administrativas</v>
      </c>
      <c r="E100" s="37">
        <v>-7852</v>
      </c>
      <c r="F100" s="37">
        <v>-9912</v>
      </c>
      <c r="G100" s="37">
        <v>-9641</v>
      </c>
      <c r="H100" s="37">
        <v>-12241</v>
      </c>
      <c r="I100" s="37">
        <v>-11170</v>
      </c>
      <c r="J100" s="37">
        <v>-15859</v>
      </c>
      <c r="K100" s="37">
        <v>-16085</v>
      </c>
      <c r="L100" s="37">
        <v>-21564</v>
      </c>
      <c r="M100" s="37">
        <f>-13107-996</f>
        <v>-14103</v>
      </c>
      <c r="N100" s="37">
        <v>-19001</v>
      </c>
      <c r="O100" s="37">
        <v>-17999</v>
      </c>
      <c r="P100" s="37">
        <v>-18796</v>
      </c>
      <c r="Q100" s="37">
        <v>-15303</v>
      </c>
      <c r="R100" s="37">
        <v>-19341</v>
      </c>
      <c r="S100" s="37">
        <v>-19777</v>
      </c>
      <c r="T100" s="37">
        <v>-28086</v>
      </c>
      <c r="U100" s="37">
        <v>-23266</v>
      </c>
      <c r="V100" s="37">
        <v>-26226</v>
      </c>
      <c r="W100" s="37">
        <v>-29929</v>
      </c>
      <c r="X100" s="37">
        <v>-32360</v>
      </c>
      <c r="Y100" s="37">
        <v>-34268</v>
      </c>
      <c r="Z100" s="37">
        <v>-33329</v>
      </c>
      <c r="AA100" s="37">
        <v>-35352</v>
      </c>
      <c r="AB100" s="37">
        <v>-34843</v>
      </c>
      <c r="AC100" s="37">
        <v>-35543</v>
      </c>
      <c r="AD100" s="37">
        <f>-103235-AB100-Z100</f>
        <v>-35063</v>
      </c>
      <c r="AE100" s="37">
        <v>-48993</v>
      </c>
      <c r="AF100" s="37">
        <v>-48060</v>
      </c>
      <c r="AG100" s="37">
        <v>-34921</v>
      </c>
      <c r="AH100" s="37">
        <v>-38977</v>
      </c>
      <c r="AI100" s="37">
        <v>-43263</v>
      </c>
      <c r="AJ100" s="37">
        <v>-42898</v>
      </c>
      <c r="AK100" s="37">
        <v>-35263</v>
      </c>
      <c r="AL100" s="37">
        <v>-39296</v>
      </c>
      <c r="AM100" s="37">
        <v>-41837</v>
      </c>
      <c r="AN100" s="4">
        <v>-41714</v>
      </c>
      <c r="AO100" s="4">
        <v>-39878</v>
      </c>
      <c r="AP100" s="4">
        <v>-38329</v>
      </c>
      <c r="AQ100" s="4">
        <v>-33114</v>
      </c>
      <c r="AR100" s="4">
        <v>-28094</v>
      </c>
      <c r="AS100" s="4">
        <v>-25664</v>
      </c>
      <c r="AT100" s="4">
        <v>-25069</v>
      </c>
      <c r="AU100" s="4">
        <v>-27525</v>
      </c>
      <c r="AV100" s="4">
        <v>-24350</v>
      </c>
      <c r="AW100" s="4">
        <v>-21720</v>
      </c>
      <c r="AX100" s="4">
        <v>-16289</v>
      </c>
      <c r="AY100" s="4">
        <v>-14191</v>
      </c>
      <c r="AZ100" s="4">
        <v>-16026</v>
      </c>
      <c r="BA100" s="94">
        <v>-12889</v>
      </c>
      <c r="BB100" s="4">
        <v>-12847</v>
      </c>
      <c r="BC100" s="4">
        <v>-12524</v>
      </c>
      <c r="BD100" s="4">
        <v>-12069</v>
      </c>
      <c r="BE100" s="4">
        <v>-11069</v>
      </c>
      <c r="BF100" s="4">
        <v>-12680</v>
      </c>
      <c r="BG100" s="4">
        <v>-11459</v>
      </c>
      <c r="BH100" s="4">
        <v>-12613</v>
      </c>
      <c r="BI100" s="4">
        <v>-11659</v>
      </c>
      <c r="BJ100" s="4">
        <v>-11588</v>
      </c>
      <c r="BK100" s="4">
        <v>-12499</v>
      </c>
      <c r="BL100" s="4">
        <v>-12717</v>
      </c>
      <c r="BM100" s="4">
        <v>-13562</v>
      </c>
      <c r="BN100" s="4">
        <v>-11225</v>
      </c>
      <c r="BO100" s="4">
        <v>-12967</v>
      </c>
      <c r="BP100" s="4">
        <v>-13203</v>
      </c>
      <c r="BQ100" s="4">
        <v>-10072</v>
      </c>
      <c r="BR100" s="4">
        <v>-11362</v>
      </c>
      <c r="BS100" s="4">
        <v>-9811</v>
      </c>
      <c r="BT100" s="4">
        <v>-11720</v>
      </c>
      <c r="BU100" s="4">
        <v>-9767</v>
      </c>
      <c r="BV100" s="4">
        <v>-5447</v>
      </c>
      <c r="BW100" s="4">
        <v>-8772</v>
      </c>
      <c r="BX100" s="4">
        <v>-10957</v>
      </c>
      <c r="BY100" s="4">
        <v>-9525</v>
      </c>
      <c r="BZ100" s="4">
        <v>-10017</v>
      </c>
      <c r="CA100" s="4">
        <v>-10090</v>
      </c>
      <c r="CB100" s="4">
        <v>-8893</v>
      </c>
      <c r="CC100" s="4">
        <v>-9010</v>
      </c>
      <c r="CD100" s="4">
        <v>-8648</v>
      </c>
      <c r="CE100" s="4">
        <v>-8115</v>
      </c>
      <c r="CF100" s="4">
        <v>-8808</v>
      </c>
      <c r="CH100" s="37">
        <f t="shared" si="285"/>
        <v>-17764</v>
      </c>
      <c r="CI100" s="37">
        <f t="shared" si="285"/>
        <v>-27405</v>
      </c>
      <c r="CJ100" s="37">
        <f t="shared" si="285"/>
        <v>-39646</v>
      </c>
      <c r="CK100" s="37">
        <f t="shared" si="285"/>
        <v>-27029</v>
      </c>
      <c r="CL100" s="37">
        <f t="shared" si="285"/>
        <v>-43114</v>
      </c>
      <c r="CM100" s="37">
        <f t="shared" si="285"/>
        <v>-64678</v>
      </c>
      <c r="CN100" s="37">
        <f t="shared" si="285"/>
        <v>-33104</v>
      </c>
      <c r="CO100" s="37">
        <f t="shared" si="285"/>
        <v>-51103</v>
      </c>
      <c r="CP100" s="37">
        <f t="shared" si="285"/>
        <v>-69899</v>
      </c>
      <c r="CQ100" s="37">
        <f t="shared" si="285"/>
        <v>-34644</v>
      </c>
      <c r="CR100" s="37">
        <f t="shared" si="286"/>
        <v>-54421</v>
      </c>
      <c r="CS100" s="37">
        <f t="shared" si="286"/>
        <v>-82507</v>
      </c>
      <c r="CT100" s="37">
        <f t="shared" si="286"/>
        <v>-49492</v>
      </c>
      <c r="CU100" s="37">
        <f t="shared" si="286"/>
        <v>-79421</v>
      </c>
      <c r="CV100" s="37">
        <f t="shared" si="286"/>
        <v>-111781</v>
      </c>
      <c r="CW100" s="37">
        <f t="shared" si="286"/>
        <v>-68172</v>
      </c>
      <c r="CX100" s="37">
        <f t="shared" si="286"/>
        <v>-103235</v>
      </c>
      <c r="CY100" s="37">
        <f t="shared" si="286"/>
        <v>-151295</v>
      </c>
      <c r="CZ100" s="37">
        <f t="shared" si="286"/>
        <v>-73898</v>
      </c>
      <c r="DA100" s="37">
        <f t="shared" si="286"/>
        <v>-117161</v>
      </c>
      <c r="DB100" s="37">
        <f t="shared" si="287"/>
        <v>-160059</v>
      </c>
      <c r="DC100" s="37">
        <f t="shared" si="287"/>
        <v>-74559</v>
      </c>
      <c r="DD100" s="37">
        <f t="shared" si="287"/>
        <v>-116396</v>
      </c>
      <c r="DE100" s="37">
        <f t="shared" si="287"/>
        <v>-158110</v>
      </c>
      <c r="DF100" s="37">
        <f t="shared" si="287"/>
        <v>-78207</v>
      </c>
      <c r="DG100" s="37">
        <f t="shared" si="287"/>
        <v>-111321</v>
      </c>
      <c r="DH100" s="37">
        <f t="shared" si="287"/>
        <v>-139415</v>
      </c>
      <c r="DI100" s="37">
        <f t="shared" si="287"/>
        <v>-50733</v>
      </c>
      <c r="DJ100" s="37">
        <f t="shared" si="287"/>
        <v>-78258</v>
      </c>
      <c r="DK100" s="37">
        <f t="shared" si="287"/>
        <v>-102608</v>
      </c>
      <c r="DL100" s="37">
        <f t="shared" si="288"/>
        <v>-38009</v>
      </c>
      <c r="DM100" s="37">
        <f t="shared" si="288"/>
        <v>-52200</v>
      </c>
      <c r="DN100" s="37">
        <f t="shared" si="288"/>
        <v>-68226</v>
      </c>
      <c r="DO100" s="37">
        <f t="shared" si="288"/>
        <v>-25736</v>
      </c>
      <c r="DP100" s="37">
        <f t="shared" si="288"/>
        <v>-38260</v>
      </c>
      <c r="DQ100" s="37">
        <f t="shared" si="288"/>
        <v>-50329</v>
      </c>
      <c r="DR100" s="37">
        <f t="shared" si="288"/>
        <v>-23749</v>
      </c>
      <c r="DS100" s="37">
        <f t="shared" si="288"/>
        <v>-35208</v>
      </c>
      <c r="DT100" s="37">
        <f t="shared" si="288"/>
        <v>-47821</v>
      </c>
      <c r="DU100" s="37">
        <f t="shared" si="288"/>
        <v>-23247</v>
      </c>
      <c r="DV100" s="37">
        <f t="shared" si="289"/>
        <v>-35746</v>
      </c>
      <c r="DW100" s="37">
        <f t="shared" si="289"/>
        <v>-48463</v>
      </c>
      <c r="DX100" s="37">
        <f t="shared" si="289"/>
        <v>-24787</v>
      </c>
      <c r="DY100" s="37">
        <f t="shared" si="289"/>
        <v>-37754</v>
      </c>
      <c r="DZ100" s="37">
        <f t="shared" si="289"/>
        <v>-50957</v>
      </c>
      <c r="EA100" s="37">
        <f t="shared" si="289"/>
        <v>-21434</v>
      </c>
      <c r="EB100" s="37">
        <f t="shared" si="289"/>
        <v>-31245</v>
      </c>
      <c r="EC100" s="37">
        <f t="shared" si="289"/>
        <v>-42965</v>
      </c>
      <c r="ED100" s="37">
        <f t="shared" si="289"/>
        <v>-15214</v>
      </c>
      <c r="EE100" s="37">
        <f t="shared" si="289"/>
        <v>-23986</v>
      </c>
      <c r="EF100" s="37">
        <f t="shared" si="290"/>
        <v>-34943</v>
      </c>
      <c r="EG100" s="37">
        <f t="shared" si="290"/>
        <v>-19542</v>
      </c>
      <c r="EH100" s="37">
        <f t="shared" si="290"/>
        <v>-29632</v>
      </c>
      <c r="EI100" s="37">
        <f t="shared" si="290"/>
        <v>-38525</v>
      </c>
      <c r="EJ100" s="37">
        <f t="shared" si="290"/>
        <v>-17658</v>
      </c>
      <c r="EK100" s="37">
        <f t="shared" si="290"/>
        <v>-25773</v>
      </c>
      <c r="EL100" s="37">
        <f t="shared" si="290"/>
        <v>-34581</v>
      </c>
    </row>
    <row r="101" spans="2:142" x14ac:dyDescent="0.3">
      <c r="B101" s="124" t="s">
        <v>50</v>
      </c>
      <c r="C101" s="124" t="s">
        <v>437</v>
      </c>
      <c r="D101" s="192" t="str">
        <f>IF(Menu!$D$12="PT",'Dados Financeiros'!B101,'Dados Financeiros'!C101)</f>
        <v>Honorários da administração</v>
      </c>
      <c r="E101" s="37">
        <v>-760</v>
      </c>
      <c r="F101" s="37">
        <v>-1647</v>
      </c>
      <c r="G101" s="37">
        <v>-638</v>
      </c>
      <c r="H101" s="37">
        <v>-794</v>
      </c>
      <c r="I101" s="37">
        <v>-1345</v>
      </c>
      <c r="J101" s="37">
        <v>-2203</v>
      </c>
      <c r="K101" s="37">
        <v>-1475</v>
      </c>
      <c r="L101" s="37">
        <v>-2125</v>
      </c>
      <c r="M101" s="37">
        <v>-1701</v>
      </c>
      <c r="N101" s="37">
        <v>-2475</v>
      </c>
      <c r="O101" s="37">
        <v>-2197</v>
      </c>
      <c r="P101" s="37">
        <v>-1727</v>
      </c>
      <c r="Q101" s="37">
        <v>-1982</v>
      </c>
      <c r="R101" s="37">
        <v>-2583</v>
      </c>
      <c r="S101" s="37">
        <v>-2063</v>
      </c>
      <c r="T101" s="37">
        <v>-8108</v>
      </c>
      <c r="U101" s="37">
        <v>-3668</v>
      </c>
      <c r="V101" s="37">
        <v>-3945</v>
      </c>
      <c r="W101" s="37">
        <v>-2465</v>
      </c>
      <c r="X101" s="37">
        <v>-2371</v>
      </c>
      <c r="Y101" s="37">
        <v>-2445</v>
      </c>
      <c r="Z101" s="37">
        <v>-2443</v>
      </c>
      <c r="AA101" s="37">
        <v>-2383</v>
      </c>
      <c r="AB101" s="37">
        <v>-2378</v>
      </c>
      <c r="AC101" s="37">
        <v>-2477</v>
      </c>
      <c r="AD101" s="37">
        <f>-7292-AB101-Z101</f>
        <v>-2471</v>
      </c>
      <c r="AE101" s="37">
        <v>-7474</v>
      </c>
      <c r="AF101" s="37">
        <v>-7481</v>
      </c>
      <c r="AG101" s="37">
        <v>-5603</v>
      </c>
      <c r="AH101" s="37">
        <v>-5747</v>
      </c>
      <c r="AI101" s="37">
        <v>-4133</v>
      </c>
      <c r="AJ101" s="37">
        <v>-4683</v>
      </c>
      <c r="AK101" s="37">
        <v>-6612</v>
      </c>
      <c r="AL101" s="37">
        <v>-5817</v>
      </c>
      <c r="AM101" s="37">
        <v>-5673</v>
      </c>
      <c r="AN101" s="4">
        <v>-5467</v>
      </c>
      <c r="AO101" s="4">
        <v>-5434</v>
      </c>
      <c r="AP101" s="4">
        <v>-7299</v>
      </c>
      <c r="AQ101" s="4">
        <v>-8179</v>
      </c>
      <c r="AR101" s="4">
        <v>-4799</v>
      </c>
      <c r="AS101" s="4">
        <v>-2391</v>
      </c>
      <c r="AT101" s="4">
        <v>-3403</v>
      </c>
      <c r="AU101" s="4">
        <v>-2629</v>
      </c>
      <c r="AV101" s="4">
        <v>-1779</v>
      </c>
      <c r="AW101" s="4">
        <v>-2266</v>
      </c>
      <c r="AX101" s="4">
        <v>-2214</v>
      </c>
      <c r="AY101" s="4">
        <v>-2228</v>
      </c>
      <c r="AZ101" s="4">
        <v>-865</v>
      </c>
      <c r="BA101" s="94">
        <v>-2358</v>
      </c>
      <c r="BB101" s="4">
        <v>-2366</v>
      </c>
      <c r="BC101" s="4">
        <v>-2379</v>
      </c>
      <c r="BD101" s="4">
        <v>-3090</v>
      </c>
      <c r="BE101" s="4">
        <v>-3222</v>
      </c>
      <c r="BF101" s="4">
        <v>-4261</v>
      </c>
      <c r="BG101" s="4">
        <v>-4101</v>
      </c>
      <c r="BH101" s="4">
        <v>-4082</v>
      </c>
      <c r="BI101" s="4">
        <v>-4005</v>
      </c>
      <c r="BJ101" s="4">
        <v>-4253</v>
      </c>
      <c r="BK101" s="4">
        <v>-4869</v>
      </c>
      <c r="BL101" s="4">
        <v>-4100</v>
      </c>
      <c r="BM101" s="4">
        <v>-4939</v>
      </c>
      <c r="BN101" s="4">
        <v>595</v>
      </c>
      <c r="BO101" s="4">
        <v>-3974</v>
      </c>
      <c r="BP101" s="4">
        <v>-5239</v>
      </c>
      <c r="BQ101" s="4">
        <v>-3390</v>
      </c>
      <c r="BR101" s="4">
        <v>-2700</v>
      </c>
      <c r="BS101" s="4">
        <v>-2862</v>
      </c>
      <c r="BT101" s="4">
        <v>-12496</v>
      </c>
      <c r="BU101" s="4">
        <v>-2934</v>
      </c>
      <c r="BV101" s="4">
        <v>-3269</v>
      </c>
      <c r="BW101" s="4">
        <v>-4101</v>
      </c>
      <c r="BX101" s="4">
        <v>-13422</v>
      </c>
      <c r="BY101" s="4">
        <v>-3805</v>
      </c>
      <c r="BZ101" s="4">
        <v>-3983</v>
      </c>
      <c r="CA101" s="4">
        <v>-3740</v>
      </c>
      <c r="CB101" s="4">
        <v>-4802</v>
      </c>
      <c r="CC101" s="4">
        <v>-5950</v>
      </c>
      <c r="CD101" s="4">
        <v>-3171</v>
      </c>
      <c r="CE101" s="4">
        <v>-3783</v>
      </c>
      <c r="CF101" s="4">
        <v>-4686</v>
      </c>
      <c r="CH101" s="37">
        <f t="shared" si="285"/>
        <v>-2407</v>
      </c>
      <c r="CI101" s="37">
        <f t="shared" si="285"/>
        <v>-3045</v>
      </c>
      <c r="CJ101" s="37">
        <f t="shared" si="285"/>
        <v>-3839</v>
      </c>
      <c r="CK101" s="37">
        <f t="shared" si="285"/>
        <v>-3548</v>
      </c>
      <c r="CL101" s="37">
        <f t="shared" si="285"/>
        <v>-5023</v>
      </c>
      <c r="CM101" s="37">
        <f t="shared" si="285"/>
        <v>-7148</v>
      </c>
      <c r="CN101" s="37">
        <f t="shared" si="285"/>
        <v>-4176</v>
      </c>
      <c r="CO101" s="37">
        <f t="shared" si="285"/>
        <v>-6373</v>
      </c>
      <c r="CP101" s="37">
        <f t="shared" si="285"/>
        <v>-8100</v>
      </c>
      <c r="CQ101" s="37">
        <f t="shared" si="285"/>
        <v>-4565</v>
      </c>
      <c r="CR101" s="37">
        <f t="shared" si="286"/>
        <v>-6628</v>
      </c>
      <c r="CS101" s="37">
        <f t="shared" si="286"/>
        <v>-14736</v>
      </c>
      <c r="CT101" s="37">
        <f t="shared" si="286"/>
        <v>-7613</v>
      </c>
      <c r="CU101" s="37">
        <f t="shared" si="286"/>
        <v>-10078</v>
      </c>
      <c r="CV101" s="37">
        <f t="shared" si="286"/>
        <v>-12449</v>
      </c>
      <c r="CW101" s="37">
        <f t="shared" si="286"/>
        <v>-4821</v>
      </c>
      <c r="CX101" s="37">
        <f t="shared" si="286"/>
        <v>-7292</v>
      </c>
      <c r="CY101" s="37">
        <f t="shared" si="286"/>
        <v>-14773</v>
      </c>
      <c r="CZ101" s="37">
        <f t="shared" si="286"/>
        <v>-11350</v>
      </c>
      <c r="DA101" s="37">
        <f t="shared" si="286"/>
        <v>-15483</v>
      </c>
      <c r="DB101" s="37">
        <f t="shared" si="287"/>
        <v>-20166</v>
      </c>
      <c r="DC101" s="37">
        <f t="shared" si="287"/>
        <v>-12429</v>
      </c>
      <c r="DD101" s="37">
        <f t="shared" si="287"/>
        <v>-18102</v>
      </c>
      <c r="DE101" s="37">
        <f t="shared" si="287"/>
        <v>-23569</v>
      </c>
      <c r="DF101" s="37">
        <f t="shared" si="287"/>
        <v>-12733</v>
      </c>
      <c r="DG101" s="37">
        <f t="shared" si="287"/>
        <v>-20912</v>
      </c>
      <c r="DH101" s="37">
        <f t="shared" si="287"/>
        <v>-25711</v>
      </c>
      <c r="DI101" s="37">
        <f t="shared" si="287"/>
        <v>-5794</v>
      </c>
      <c r="DJ101" s="37">
        <f t="shared" si="287"/>
        <v>-8423</v>
      </c>
      <c r="DK101" s="37">
        <f t="shared" si="287"/>
        <v>-10202</v>
      </c>
      <c r="DL101" s="37">
        <f t="shared" si="288"/>
        <v>-4480</v>
      </c>
      <c r="DM101" s="37">
        <f t="shared" si="288"/>
        <v>-6708</v>
      </c>
      <c r="DN101" s="37">
        <f t="shared" si="288"/>
        <v>-7573</v>
      </c>
      <c r="DO101" s="37">
        <f t="shared" si="288"/>
        <v>-4724</v>
      </c>
      <c r="DP101" s="37">
        <f t="shared" si="288"/>
        <v>-7103</v>
      </c>
      <c r="DQ101" s="37">
        <f t="shared" si="288"/>
        <v>-10193</v>
      </c>
      <c r="DR101" s="37">
        <f t="shared" si="288"/>
        <v>-7483</v>
      </c>
      <c r="DS101" s="37">
        <f t="shared" si="288"/>
        <v>-11584</v>
      </c>
      <c r="DT101" s="37">
        <f t="shared" si="288"/>
        <v>-15666</v>
      </c>
      <c r="DU101" s="37">
        <f t="shared" si="288"/>
        <v>-8258</v>
      </c>
      <c r="DV101" s="37">
        <f t="shared" si="289"/>
        <v>-13127</v>
      </c>
      <c r="DW101" s="37">
        <f t="shared" si="289"/>
        <v>-17227</v>
      </c>
      <c r="DX101" s="37">
        <f t="shared" si="289"/>
        <v>-4344</v>
      </c>
      <c r="DY101" s="37">
        <f t="shared" si="289"/>
        <v>-8318</v>
      </c>
      <c r="DZ101" s="37">
        <f t="shared" si="289"/>
        <v>-13557</v>
      </c>
      <c r="EA101" s="37">
        <f t="shared" si="289"/>
        <v>-6090</v>
      </c>
      <c r="EB101" s="37">
        <f t="shared" si="289"/>
        <v>-8952</v>
      </c>
      <c r="EC101" s="37">
        <f t="shared" si="289"/>
        <v>-21448</v>
      </c>
      <c r="ED101" s="37">
        <f t="shared" si="289"/>
        <v>-6203</v>
      </c>
      <c r="EE101" s="37">
        <f t="shared" si="289"/>
        <v>-10304</v>
      </c>
      <c r="EF101" s="37">
        <f t="shared" si="290"/>
        <v>-23726</v>
      </c>
      <c r="EG101" s="37">
        <f t="shared" si="290"/>
        <v>-7788</v>
      </c>
      <c r="EH101" s="37">
        <f t="shared" si="290"/>
        <v>-11528</v>
      </c>
      <c r="EI101" s="37">
        <f t="shared" si="290"/>
        <v>-16330</v>
      </c>
      <c r="EJ101" s="37">
        <f t="shared" si="290"/>
        <v>-9121</v>
      </c>
      <c r="EK101" s="37">
        <f t="shared" si="290"/>
        <v>-12904</v>
      </c>
      <c r="EL101" s="37">
        <f t="shared" si="290"/>
        <v>-17590</v>
      </c>
    </row>
    <row r="102" spans="2:142" x14ac:dyDescent="0.3">
      <c r="B102" s="125" t="s">
        <v>49</v>
      </c>
      <c r="C102" s="125" t="s">
        <v>438</v>
      </c>
      <c r="D102" s="194" t="str">
        <f>IF(Menu!$D$12="PT",'Dados Financeiros'!B102,'Dados Financeiros'!C102)</f>
        <v>Equivalência Patrimonial</v>
      </c>
      <c r="E102" s="45">
        <v>0</v>
      </c>
      <c r="F102" s="45">
        <v>0</v>
      </c>
      <c r="G102" s="45">
        <v>0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5">
        <v>0</v>
      </c>
      <c r="Q102" s="45">
        <v>0</v>
      </c>
      <c r="R102" s="45">
        <v>0</v>
      </c>
      <c r="S102" s="45">
        <v>0</v>
      </c>
      <c r="T102" s="45">
        <v>0</v>
      </c>
      <c r="U102" s="45">
        <v>0</v>
      </c>
      <c r="V102" s="45">
        <v>0</v>
      </c>
      <c r="W102" s="45">
        <v>0</v>
      </c>
      <c r="X102" s="45">
        <v>0</v>
      </c>
      <c r="Y102" s="45">
        <v>0</v>
      </c>
      <c r="Z102" s="45">
        <v>-6622</v>
      </c>
      <c r="AA102" s="45">
        <v>0</v>
      </c>
      <c r="AB102" s="45">
        <v>9871</v>
      </c>
      <c r="AC102" s="45">
        <v>0</v>
      </c>
      <c r="AD102" s="45">
        <f>3187-AB102-Z102</f>
        <v>-62</v>
      </c>
      <c r="AE102" s="45">
        <v>0</v>
      </c>
      <c r="AF102" s="45">
        <v>421</v>
      </c>
      <c r="AG102" s="45">
        <v>11384</v>
      </c>
      <c r="AH102" s="45">
        <v>15305</v>
      </c>
      <c r="AI102" s="45">
        <v>14872</v>
      </c>
      <c r="AJ102" s="37">
        <v>19640</v>
      </c>
      <c r="AK102" s="45">
        <v>10192</v>
      </c>
      <c r="AL102" s="45">
        <v>3624</v>
      </c>
      <c r="AM102" s="37">
        <v>12128</v>
      </c>
      <c r="AN102" s="4">
        <v>4257</v>
      </c>
      <c r="AO102" s="4">
        <v>6144</v>
      </c>
      <c r="AP102" s="4">
        <v>1687</v>
      </c>
      <c r="AQ102" s="4">
        <v>2679</v>
      </c>
      <c r="AR102" s="4">
        <v>-25149</v>
      </c>
      <c r="AS102" s="4">
        <v>19496</v>
      </c>
      <c r="AT102" s="4">
        <v>-23395</v>
      </c>
      <c r="AU102" s="4">
        <v>-9257</v>
      </c>
      <c r="AV102" s="4">
        <v>-37598</v>
      </c>
      <c r="AW102" s="4">
        <v>-8010</v>
      </c>
      <c r="AX102" s="4">
        <v>-8687</v>
      </c>
      <c r="AY102" s="4">
        <v>-4264</v>
      </c>
      <c r="AZ102" s="4">
        <v>10115</v>
      </c>
      <c r="BA102" s="94">
        <v>956</v>
      </c>
      <c r="BB102" s="4">
        <v>8636</v>
      </c>
      <c r="BC102" s="4">
        <v>-9643</v>
      </c>
      <c r="BD102" s="4">
        <v>-1986</v>
      </c>
      <c r="BE102" s="4">
        <v>11395</v>
      </c>
      <c r="BF102" s="4">
        <v>7672</v>
      </c>
      <c r="BG102" s="4">
        <v>13988</v>
      </c>
      <c r="BH102" s="4">
        <v>10490</v>
      </c>
      <c r="BI102" s="4">
        <v>8125</v>
      </c>
      <c r="BJ102" s="4">
        <v>1459</v>
      </c>
      <c r="BK102" s="4">
        <v>15827</v>
      </c>
      <c r="BL102" s="4">
        <v>20011</v>
      </c>
      <c r="BM102" s="4">
        <v>14300</v>
      </c>
      <c r="BN102" s="4">
        <v>16329</v>
      </c>
      <c r="BO102" s="4">
        <v>1778</v>
      </c>
      <c r="BP102" s="4">
        <v>544</v>
      </c>
      <c r="BQ102" s="4">
        <v>19500</v>
      </c>
      <c r="BR102" s="4">
        <v>9080</v>
      </c>
      <c r="BS102" s="4">
        <v>3760</v>
      </c>
      <c r="BT102" s="4">
        <v>-3565</v>
      </c>
      <c r="BU102" s="4">
        <v>1330</v>
      </c>
      <c r="BV102" s="4">
        <v>4579</v>
      </c>
      <c r="BW102" s="4">
        <v>5190</v>
      </c>
      <c r="BX102" s="4">
        <v>12402</v>
      </c>
      <c r="BY102" s="4">
        <v>5646</v>
      </c>
      <c r="BZ102" s="4">
        <v>14627</v>
      </c>
      <c r="CA102" s="4">
        <v>14370</v>
      </c>
      <c r="CB102" s="4">
        <v>25045</v>
      </c>
      <c r="CC102" s="4">
        <v>27069</v>
      </c>
      <c r="CD102" s="4">
        <v>9032</v>
      </c>
      <c r="CE102" s="4">
        <v>29173</v>
      </c>
      <c r="CF102" s="4">
        <v>41285</v>
      </c>
      <c r="CH102" s="45">
        <f t="shared" si="285"/>
        <v>0</v>
      </c>
      <c r="CI102" s="45">
        <f t="shared" si="285"/>
        <v>0</v>
      </c>
      <c r="CJ102" s="45">
        <f t="shared" si="285"/>
        <v>0</v>
      </c>
      <c r="CK102" s="45">
        <f t="shared" si="285"/>
        <v>0</v>
      </c>
      <c r="CL102" s="45">
        <f t="shared" si="285"/>
        <v>0</v>
      </c>
      <c r="CM102" s="45">
        <f t="shared" si="285"/>
        <v>0</v>
      </c>
      <c r="CN102" s="45">
        <f t="shared" si="285"/>
        <v>0</v>
      </c>
      <c r="CO102" s="45">
        <f t="shared" si="285"/>
        <v>0</v>
      </c>
      <c r="CP102" s="45">
        <f t="shared" si="285"/>
        <v>0</v>
      </c>
      <c r="CQ102" s="45">
        <f t="shared" si="285"/>
        <v>0</v>
      </c>
      <c r="CR102" s="45">
        <f t="shared" si="286"/>
        <v>0</v>
      </c>
      <c r="CS102" s="45">
        <f t="shared" si="286"/>
        <v>0</v>
      </c>
      <c r="CT102" s="45">
        <f t="shared" si="286"/>
        <v>0</v>
      </c>
      <c r="CU102" s="45">
        <f t="shared" si="286"/>
        <v>0</v>
      </c>
      <c r="CV102" s="45">
        <f t="shared" si="286"/>
        <v>0</v>
      </c>
      <c r="CW102" s="45">
        <f t="shared" si="286"/>
        <v>3249</v>
      </c>
      <c r="CX102" s="45">
        <f t="shared" si="286"/>
        <v>3187</v>
      </c>
      <c r="CY102" s="45">
        <f t="shared" si="286"/>
        <v>3608</v>
      </c>
      <c r="CZ102" s="45">
        <f t="shared" si="286"/>
        <v>26689</v>
      </c>
      <c r="DA102" s="45">
        <f t="shared" si="286"/>
        <v>41561</v>
      </c>
      <c r="DB102" s="45">
        <f t="shared" si="287"/>
        <v>61201</v>
      </c>
      <c r="DC102" s="45">
        <f t="shared" si="287"/>
        <v>13816</v>
      </c>
      <c r="DD102" s="45">
        <f t="shared" si="287"/>
        <v>25944</v>
      </c>
      <c r="DE102" s="45">
        <f t="shared" si="287"/>
        <v>30201</v>
      </c>
      <c r="DF102" s="45">
        <f t="shared" si="287"/>
        <v>7831</v>
      </c>
      <c r="DG102" s="45">
        <f t="shared" si="287"/>
        <v>10510</v>
      </c>
      <c r="DH102" s="45">
        <f t="shared" si="287"/>
        <v>-14639</v>
      </c>
      <c r="DI102" s="45">
        <f t="shared" si="287"/>
        <v>-3899</v>
      </c>
      <c r="DJ102" s="45">
        <f t="shared" si="287"/>
        <v>-13156</v>
      </c>
      <c r="DK102" s="45">
        <f t="shared" si="287"/>
        <v>-50754</v>
      </c>
      <c r="DL102" s="45">
        <f t="shared" si="288"/>
        <v>-16697</v>
      </c>
      <c r="DM102" s="45">
        <f t="shared" si="288"/>
        <v>-20961</v>
      </c>
      <c r="DN102" s="45">
        <f t="shared" si="288"/>
        <v>-10846</v>
      </c>
      <c r="DO102" s="45">
        <f t="shared" si="288"/>
        <v>9592</v>
      </c>
      <c r="DP102" s="45">
        <f t="shared" si="288"/>
        <v>-51</v>
      </c>
      <c r="DQ102" s="45">
        <f t="shared" si="288"/>
        <v>-2037</v>
      </c>
      <c r="DR102" s="45">
        <f t="shared" si="288"/>
        <v>19067</v>
      </c>
      <c r="DS102" s="45">
        <f t="shared" si="288"/>
        <v>33055</v>
      </c>
      <c r="DT102" s="45">
        <f t="shared" si="288"/>
        <v>43545</v>
      </c>
      <c r="DU102" s="45">
        <f t="shared" si="288"/>
        <v>9584</v>
      </c>
      <c r="DV102" s="45">
        <f t="shared" si="289"/>
        <v>25411</v>
      </c>
      <c r="DW102" s="45">
        <f t="shared" si="289"/>
        <v>45422</v>
      </c>
      <c r="DX102" s="45">
        <f t="shared" si="289"/>
        <v>30629</v>
      </c>
      <c r="DY102" s="45">
        <f t="shared" si="289"/>
        <v>32407</v>
      </c>
      <c r="DZ102" s="45">
        <f t="shared" si="289"/>
        <v>32951</v>
      </c>
      <c r="EA102" s="45">
        <f t="shared" si="289"/>
        <v>28580</v>
      </c>
      <c r="EB102" s="45">
        <f t="shared" si="289"/>
        <v>32340</v>
      </c>
      <c r="EC102" s="45">
        <f t="shared" si="289"/>
        <v>28775</v>
      </c>
      <c r="ED102" s="45">
        <f t="shared" si="289"/>
        <v>5909</v>
      </c>
      <c r="EE102" s="45">
        <f t="shared" si="289"/>
        <v>11099</v>
      </c>
      <c r="EF102" s="45">
        <f t="shared" si="290"/>
        <v>23501</v>
      </c>
      <c r="EG102" s="45">
        <f t="shared" si="290"/>
        <v>20273</v>
      </c>
      <c r="EH102" s="45">
        <f t="shared" si="290"/>
        <v>34643</v>
      </c>
      <c r="EI102" s="45">
        <f t="shared" si="290"/>
        <v>59688</v>
      </c>
      <c r="EJ102" s="45">
        <f t="shared" si="290"/>
        <v>36101</v>
      </c>
      <c r="EK102" s="45">
        <f t="shared" si="290"/>
        <v>65274</v>
      </c>
      <c r="EL102" s="45">
        <f t="shared" si="290"/>
        <v>106559</v>
      </c>
    </row>
    <row r="103" spans="2:142" ht="14.4" thickBot="1" x14ac:dyDescent="0.35">
      <c r="B103" s="124" t="s">
        <v>36</v>
      </c>
      <c r="C103" s="124" t="s">
        <v>439</v>
      </c>
      <c r="D103" s="192" t="str">
        <f>IF(Menu!$D$12="PT",'Dados Financeiros'!B103,'Dados Financeiros'!C103)</f>
        <v>Outras receitas (despesas) operacionais</v>
      </c>
      <c r="E103" s="37">
        <v>456</v>
      </c>
      <c r="F103" s="37">
        <v>487</v>
      </c>
      <c r="G103" s="37">
        <f>820</f>
        <v>820</v>
      </c>
      <c r="H103" s="37">
        <v>-2910</v>
      </c>
      <c r="I103" s="37">
        <v>20412</v>
      </c>
      <c r="J103" s="37">
        <v>5189</v>
      </c>
      <c r="K103" s="37">
        <v>-80</v>
      </c>
      <c r="L103" s="37">
        <v>-1242</v>
      </c>
      <c r="M103" s="37">
        <v>-568</v>
      </c>
      <c r="N103" s="37">
        <v>6452</v>
      </c>
      <c r="O103" s="37">
        <v>1949</v>
      </c>
      <c r="P103" s="37">
        <v>835</v>
      </c>
      <c r="Q103" s="37">
        <v>-1209</v>
      </c>
      <c r="R103" s="37">
        <v>-390</v>
      </c>
      <c r="S103" s="37">
        <v>-4471</v>
      </c>
      <c r="T103" s="37">
        <v>-1748</v>
      </c>
      <c r="U103" s="37">
        <v>-4406</v>
      </c>
      <c r="V103" s="37">
        <v>-438</v>
      </c>
      <c r="W103" s="37">
        <v>-4579</v>
      </c>
      <c r="X103" s="37">
        <v>-16038</v>
      </c>
      <c r="Y103" s="37">
        <v>-7201</v>
      </c>
      <c r="Z103" s="37">
        <v>3906</v>
      </c>
      <c r="AA103" s="37">
        <v>-12991</v>
      </c>
      <c r="AB103" s="37">
        <v>-6951</v>
      </c>
      <c r="AC103" s="37">
        <v>-48951</v>
      </c>
      <c r="AD103" s="37">
        <v>-32224</v>
      </c>
      <c r="AE103" s="37">
        <v>-24689</v>
      </c>
      <c r="AF103" s="37">
        <v>-24115</v>
      </c>
      <c r="AG103" s="37">
        <v>-8</v>
      </c>
      <c r="AH103" s="37">
        <v>-6619</v>
      </c>
      <c r="AI103" s="37">
        <v>-8335</v>
      </c>
      <c r="AJ103" s="37">
        <v>-7383</v>
      </c>
      <c r="AK103" s="37">
        <v>-13761</v>
      </c>
      <c r="AL103" s="37">
        <v>-12326</v>
      </c>
      <c r="AM103" s="37">
        <v>-11181</v>
      </c>
      <c r="AN103" s="4">
        <v>-14105</v>
      </c>
      <c r="AO103" s="4">
        <v>-18389</v>
      </c>
      <c r="AP103" s="4">
        <v>-24410</v>
      </c>
      <c r="AQ103" s="4">
        <v>-27603</v>
      </c>
      <c r="AR103" s="4">
        <v>224121</v>
      </c>
      <c r="AS103" s="4">
        <v>-7022</v>
      </c>
      <c r="AT103" s="4">
        <v>-19984</v>
      </c>
      <c r="AU103" s="4">
        <v>-19180</v>
      </c>
      <c r="AV103" s="4">
        <v>-142864</v>
      </c>
      <c r="AW103" s="4">
        <v>-8587</v>
      </c>
      <c r="AX103" s="4">
        <v>-33630</v>
      </c>
      <c r="AY103" s="4">
        <v>-77696</v>
      </c>
      <c r="AZ103" s="4">
        <v>-121990</v>
      </c>
      <c r="BA103" s="94">
        <v>-22297</v>
      </c>
      <c r="BB103" s="4">
        <v>-43419</v>
      </c>
      <c r="BC103" s="4">
        <v>-6609</v>
      </c>
      <c r="BD103" s="4">
        <v>-28149</v>
      </c>
      <c r="BE103" s="4">
        <v>-22111</v>
      </c>
      <c r="BF103" s="4">
        <v>-106475</v>
      </c>
      <c r="BG103" s="4">
        <v>-32195</v>
      </c>
      <c r="BH103" s="4">
        <v>-42726</v>
      </c>
      <c r="BI103" s="4">
        <v>-32975</v>
      </c>
      <c r="BJ103" s="4">
        <v>-19726</v>
      </c>
      <c r="BK103" s="4">
        <v>-16844</v>
      </c>
      <c r="BL103" s="4">
        <v>-18311</v>
      </c>
      <c r="BM103" s="4">
        <v>-8285</v>
      </c>
      <c r="BN103" s="4">
        <v>-47167</v>
      </c>
      <c r="BO103" s="4">
        <v>-260</v>
      </c>
      <c r="BP103" s="4">
        <v>-16614</v>
      </c>
      <c r="BQ103" s="4">
        <v>-2644</v>
      </c>
      <c r="BR103" s="4">
        <v>7638</v>
      </c>
      <c r="BS103" s="4">
        <v>9885</v>
      </c>
      <c r="BT103" s="4">
        <v>45163</v>
      </c>
      <c r="BU103" s="4">
        <v>-301</v>
      </c>
      <c r="BV103" s="4">
        <v>5696</v>
      </c>
      <c r="BW103" s="4">
        <v>7196</v>
      </c>
      <c r="BX103" s="4">
        <v>-5322</v>
      </c>
      <c r="BY103" s="4">
        <v>9950</v>
      </c>
      <c r="BZ103" s="4">
        <v>-12135</v>
      </c>
      <c r="CA103" s="4">
        <v>-9908</v>
      </c>
      <c r="CB103" s="4">
        <v>-39108</v>
      </c>
      <c r="CC103" s="4">
        <v>-462</v>
      </c>
      <c r="CD103" s="4">
        <v>-8241</v>
      </c>
      <c r="CE103" s="4">
        <v>-7146</v>
      </c>
      <c r="CF103" s="4">
        <v>-25989</v>
      </c>
      <c r="CH103" s="37">
        <f t="shared" si="285"/>
        <v>943</v>
      </c>
      <c r="CI103" s="37">
        <f t="shared" si="285"/>
        <v>1763</v>
      </c>
      <c r="CJ103" s="37">
        <f t="shared" si="285"/>
        <v>-1147</v>
      </c>
      <c r="CK103" s="37">
        <f t="shared" si="285"/>
        <v>25601</v>
      </c>
      <c r="CL103" s="37">
        <f t="shared" si="285"/>
        <v>25521</v>
      </c>
      <c r="CM103" s="37">
        <f t="shared" si="285"/>
        <v>24279</v>
      </c>
      <c r="CN103" s="37">
        <f t="shared" si="285"/>
        <v>5884</v>
      </c>
      <c r="CO103" s="37">
        <f t="shared" si="285"/>
        <v>7833</v>
      </c>
      <c r="CP103" s="37">
        <f t="shared" si="285"/>
        <v>8668</v>
      </c>
      <c r="CQ103" s="37">
        <f t="shared" si="285"/>
        <v>-1599</v>
      </c>
      <c r="CR103" s="37">
        <f t="shared" si="286"/>
        <v>-6070</v>
      </c>
      <c r="CS103" s="37">
        <f t="shared" si="286"/>
        <v>-7818</v>
      </c>
      <c r="CT103" s="37">
        <f t="shared" si="286"/>
        <v>-4844</v>
      </c>
      <c r="CU103" s="37">
        <f t="shared" si="286"/>
        <v>-9423</v>
      </c>
      <c r="CV103" s="37">
        <f t="shared" si="286"/>
        <v>-25461</v>
      </c>
      <c r="CW103" s="37">
        <f t="shared" si="286"/>
        <v>-3045</v>
      </c>
      <c r="CX103" s="37">
        <f t="shared" si="286"/>
        <v>-35269</v>
      </c>
      <c r="CY103" s="37">
        <f t="shared" si="286"/>
        <v>-59384</v>
      </c>
      <c r="CZ103" s="37">
        <f t="shared" si="286"/>
        <v>-6627</v>
      </c>
      <c r="DA103" s="37">
        <f t="shared" si="286"/>
        <v>-14962</v>
      </c>
      <c r="DB103" s="37">
        <f t="shared" si="287"/>
        <v>-22345</v>
      </c>
      <c r="DC103" s="37">
        <f t="shared" si="287"/>
        <v>-26087</v>
      </c>
      <c r="DD103" s="37">
        <f t="shared" si="287"/>
        <v>-37268</v>
      </c>
      <c r="DE103" s="37">
        <f t="shared" si="287"/>
        <v>-51373</v>
      </c>
      <c r="DF103" s="37">
        <f t="shared" si="287"/>
        <v>-42799</v>
      </c>
      <c r="DG103" s="37">
        <f t="shared" si="287"/>
        <v>-70402</v>
      </c>
      <c r="DH103" s="37">
        <f t="shared" si="287"/>
        <v>153719</v>
      </c>
      <c r="DI103" s="37">
        <f t="shared" si="287"/>
        <v>-27006</v>
      </c>
      <c r="DJ103" s="37">
        <f t="shared" si="287"/>
        <v>-46186</v>
      </c>
      <c r="DK103" s="37">
        <f t="shared" si="287"/>
        <v>-189050</v>
      </c>
      <c r="DL103" s="37">
        <f t="shared" si="288"/>
        <v>-42217</v>
      </c>
      <c r="DM103" s="37">
        <f t="shared" si="288"/>
        <v>-119913</v>
      </c>
      <c r="DN103" s="37">
        <f t="shared" si="288"/>
        <v>-241903</v>
      </c>
      <c r="DO103" s="37">
        <f t="shared" si="288"/>
        <v>-65716</v>
      </c>
      <c r="DP103" s="37">
        <f t="shared" si="288"/>
        <v>-72325</v>
      </c>
      <c r="DQ103" s="37">
        <f t="shared" si="288"/>
        <v>-100474</v>
      </c>
      <c r="DR103" s="37">
        <f t="shared" si="288"/>
        <v>-128586</v>
      </c>
      <c r="DS103" s="37">
        <f t="shared" si="288"/>
        <v>-160781</v>
      </c>
      <c r="DT103" s="37">
        <f t="shared" si="288"/>
        <v>-203507</v>
      </c>
      <c r="DU103" s="37">
        <f t="shared" si="288"/>
        <v>-52701</v>
      </c>
      <c r="DV103" s="37">
        <f t="shared" si="289"/>
        <v>-69545</v>
      </c>
      <c r="DW103" s="37">
        <f t="shared" si="289"/>
        <v>-87856</v>
      </c>
      <c r="DX103" s="37">
        <f t="shared" si="289"/>
        <v>-55452</v>
      </c>
      <c r="DY103" s="37">
        <f t="shared" si="289"/>
        <v>-55712</v>
      </c>
      <c r="DZ103" s="37">
        <f t="shared" si="289"/>
        <v>-72326</v>
      </c>
      <c r="EA103" s="37">
        <f t="shared" si="289"/>
        <v>4994</v>
      </c>
      <c r="EB103" s="37">
        <f t="shared" si="289"/>
        <v>14879</v>
      </c>
      <c r="EC103" s="37">
        <f t="shared" si="289"/>
        <v>60042</v>
      </c>
      <c r="ED103" s="37">
        <f t="shared" si="289"/>
        <v>5395</v>
      </c>
      <c r="EE103" s="37">
        <f t="shared" si="289"/>
        <v>12591</v>
      </c>
      <c r="EF103" s="37">
        <f t="shared" si="290"/>
        <v>7269</v>
      </c>
      <c r="EG103" s="37">
        <f t="shared" si="290"/>
        <v>-2185</v>
      </c>
      <c r="EH103" s="37">
        <f t="shared" si="290"/>
        <v>-12093</v>
      </c>
      <c r="EI103" s="37">
        <f t="shared" si="290"/>
        <v>-51201</v>
      </c>
      <c r="EJ103" s="37">
        <f t="shared" si="290"/>
        <v>-8703</v>
      </c>
      <c r="EK103" s="37">
        <f t="shared" si="290"/>
        <v>-15849</v>
      </c>
      <c r="EL103" s="37">
        <f t="shared" si="290"/>
        <v>-41838</v>
      </c>
    </row>
    <row r="104" spans="2:142" ht="14.4" thickBot="1" x14ac:dyDescent="0.35">
      <c r="B104" s="120" t="s">
        <v>48</v>
      </c>
      <c r="C104" s="120" t="s">
        <v>440</v>
      </c>
      <c r="D104" s="191" t="str">
        <f>IF(Menu!$D$12="PT",'Dados Financeiros'!B104,'Dados Financeiros'!C104)</f>
        <v>Resultado Financeiro</v>
      </c>
      <c r="E104" s="43">
        <f t="shared" ref="E104:AV104" si="291">+E106+E105</f>
        <v>4328</v>
      </c>
      <c r="F104" s="43">
        <f t="shared" si="291"/>
        <v>8809</v>
      </c>
      <c r="G104" s="43">
        <f t="shared" si="291"/>
        <v>6622</v>
      </c>
      <c r="H104" s="43">
        <f t="shared" si="291"/>
        <v>6881</v>
      </c>
      <c r="I104" s="43">
        <f t="shared" si="291"/>
        <v>7703</v>
      </c>
      <c r="J104" s="43">
        <f t="shared" si="291"/>
        <v>9569</v>
      </c>
      <c r="K104" s="43">
        <f t="shared" si="291"/>
        <v>10542</v>
      </c>
      <c r="L104" s="43">
        <f t="shared" si="291"/>
        <v>9691</v>
      </c>
      <c r="M104" s="43">
        <f t="shared" si="291"/>
        <v>3958</v>
      </c>
      <c r="N104" s="43">
        <f t="shared" si="291"/>
        <v>3393</v>
      </c>
      <c r="O104" s="43">
        <f t="shared" si="291"/>
        <v>7516</v>
      </c>
      <c r="P104" s="43">
        <f t="shared" si="291"/>
        <v>8391</v>
      </c>
      <c r="Q104" s="43">
        <f t="shared" si="291"/>
        <v>12013</v>
      </c>
      <c r="R104" s="43">
        <f t="shared" si="291"/>
        <v>5702</v>
      </c>
      <c r="S104" s="43">
        <f t="shared" si="291"/>
        <v>9482</v>
      </c>
      <c r="T104" s="43">
        <f t="shared" si="291"/>
        <v>2544</v>
      </c>
      <c r="U104" s="43">
        <f t="shared" si="291"/>
        <v>15750</v>
      </c>
      <c r="V104" s="43">
        <f t="shared" si="291"/>
        <v>23333</v>
      </c>
      <c r="W104" s="43">
        <f t="shared" si="291"/>
        <v>7495</v>
      </c>
      <c r="X104" s="43">
        <f t="shared" si="291"/>
        <v>16360</v>
      </c>
      <c r="Y104" s="43">
        <f t="shared" si="291"/>
        <v>10574</v>
      </c>
      <c r="Z104" s="43">
        <f t="shared" si="291"/>
        <v>7090</v>
      </c>
      <c r="AA104" s="43">
        <f t="shared" si="291"/>
        <v>20708</v>
      </c>
      <c r="AB104" s="43">
        <f t="shared" si="291"/>
        <v>12425</v>
      </c>
      <c r="AC104" s="43">
        <f t="shared" si="291"/>
        <v>3418</v>
      </c>
      <c r="AD104" s="43">
        <f t="shared" si="291"/>
        <v>-2618</v>
      </c>
      <c r="AE104" s="43">
        <f t="shared" si="291"/>
        <v>-14911</v>
      </c>
      <c r="AF104" s="43">
        <f t="shared" si="291"/>
        <v>-18363</v>
      </c>
      <c r="AG104" s="43">
        <f t="shared" si="291"/>
        <v>-5865</v>
      </c>
      <c r="AH104" s="43">
        <f t="shared" si="291"/>
        <v>-8518</v>
      </c>
      <c r="AI104" s="43">
        <f t="shared" si="291"/>
        <v>7729</v>
      </c>
      <c r="AJ104" s="43">
        <f t="shared" si="291"/>
        <v>8061</v>
      </c>
      <c r="AK104" s="43">
        <f t="shared" si="291"/>
        <v>18990</v>
      </c>
      <c r="AL104" s="43">
        <f t="shared" si="291"/>
        <v>17681</v>
      </c>
      <c r="AM104" s="43">
        <f t="shared" si="291"/>
        <v>9170</v>
      </c>
      <c r="AN104" s="43">
        <f t="shared" si="291"/>
        <v>15298</v>
      </c>
      <c r="AO104" s="43">
        <f t="shared" si="291"/>
        <v>22894</v>
      </c>
      <c r="AP104" s="43">
        <f t="shared" si="291"/>
        <v>24662</v>
      </c>
      <c r="AQ104" s="43">
        <f t="shared" si="291"/>
        <v>11536</v>
      </c>
      <c r="AR104" s="43">
        <f t="shared" si="291"/>
        <v>13133</v>
      </c>
      <c r="AS104" s="43">
        <f t="shared" si="291"/>
        <v>12335</v>
      </c>
      <c r="AT104" s="43">
        <f t="shared" si="291"/>
        <v>2129</v>
      </c>
      <c r="AU104" s="43">
        <f t="shared" si="291"/>
        <v>2648</v>
      </c>
      <c r="AV104" s="43">
        <f t="shared" si="291"/>
        <v>-2437</v>
      </c>
      <c r="AW104" s="43">
        <f t="shared" ref="AW104:AX104" si="292">+AW106+AW105</f>
        <v>-322</v>
      </c>
      <c r="AX104" s="43">
        <f t="shared" si="292"/>
        <v>-21127</v>
      </c>
      <c r="AY104" s="43">
        <f t="shared" ref="AY104:BC104" si="293">+AY106+AY105</f>
        <v>-17748</v>
      </c>
      <c r="AZ104" s="43">
        <f t="shared" ref="AZ104:BB104" si="294">+AZ106+AZ105</f>
        <v>-13335</v>
      </c>
      <c r="BA104" s="43">
        <f t="shared" si="294"/>
        <v>-14474</v>
      </c>
      <c r="BB104" s="43">
        <f t="shared" si="294"/>
        <v>-21659</v>
      </c>
      <c r="BC104" s="43">
        <f t="shared" si="293"/>
        <v>-8578</v>
      </c>
      <c r="BD104" s="43">
        <f t="shared" ref="BD104:BE104" si="295">+BD106+BD105</f>
        <v>-16641</v>
      </c>
      <c r="BE104" s="43">
        <f t="shared" si="295"/>
        <v>-11292</v>
      </c>
      <c r="BF104" s="43">
        <f t="shared" ref="BF104:BG104" si="296">+BF106+BF105</f>
        <v>-15684</v>
      </c>
      <c r="BG104" s="43">
        <f t="shared" si="296"/>
        <v>-9991</v>
      </c>
      <c r="BH104" s="43">
        <f t="shared" ref="BH104:BI104" si="297">+BH106+BH105</f>
        <v>-7510</v>
      </c>
      <c r="BI104" s="43">
        <f t="shared" si="297"/>
        <v>-5686</v>
      </c>
      <c r="BJ104" s="43">
        <f>+BJ106+BJ105</f>
        <v>-187</v>
      </c>
      <c r="BK104" s="43">
        <f>+BK106+BK105</f>
        <v>-5362</v>
      </c>
      <c r="BL104" s="43">
        <f>+BL106+BL105</f>
        <v>-7311</v>
      </c>
      <c r="BM104" s="43">
        <f>+BM106+BM105</f>
        <v>-11582</v>
      </c>
      <c r="BN104" s="43">
        <f>+BN106+BN105</f>
        <v>-12083</v>
      </c>
      <c r="BO104" s="43">
        <v>-17780</v>
      </c>
      <c r="BP104" s="43">
        <f>+BP106+BP105</f>
        <v>-11595</v>
      </c>
      <c r="BQ104" s="43">
        <v>-8233</v>
      </c>
      <c r="BR104" s="43">
        <v>-3987</v>
      </c>
      <c r="BS104" s="43">
        <v>736</v>
      </c>
      <c r="BT104" s="43">
        <v>-1512</v>
      </c>
      <c r="BU104" s="43">
        <v>-1877</v>
      </c>
      <c r="BV104" s="43">
        <v>-1707</v>
      </c>
      <c r="BW104" s="43">
        <v>-2457</v>
      </c>
      <c r="BX104" s="43">
        <f>SUM(BX105:BX106)</f>
        <v>-2971</v>
      </c>
      <c r="BY104" s="43">
        <f>SUM(BY105:BY106)</f>
        <v>-7517</v>
      </c>
      <c r="BZ104" s="43">
        <v>-6419</v>
      </c>
      <c r="CA104" s="43">
        <v>-12466</v>
      </c>
      <c r="CB104" s="43">
        <f>SUM(CB105:CB106)</f>
        <v>-4602</v>
      </c>
      <c r="CC104" s="43">
        <f>SUM(CC105:CC106)</f>
        <v>-10188</v>
      </c>
      <c r="CD104" s="43">
        <f>SUM(CD105:CD106)</f>
        <v>-14039</v>
      </c>
      <c r="CE104" s="43">
        <f>SUM(CE105:CE106)</f>
        <v>-15197</v>
      </c>
      <c r="CF104" s="43">
        <f>SUM(CF105:CF106)</f>
        <v>-19415</v>
      </c>
      <c r="CH104" s="44">
        <f t="shared" si="285"/>
        <v>13137</v>
      </c>
      <c r="CI104" s="44">
        <f t="shared" si="285"/>
        <v>19759</v>
      </c>
      <c r="CJ104" s="44">
        <f t="shared" si="285"/>
        <v>26640</v>
      </c>
      <c r="CK104" s="44">
        <f t="shared" si="285"/>
        <v>17272</v>
      </c>
      <c r="CL104" s="44">
        <f t="shared" si="285"/>
        <v>27814</v>
      </c>
      <c r="CM104" s="44">
        <f t="shared" si="285"/>
        <v>37505</v>
      </c>
      <c r="CN104" s="44">
        <f t="shared" si="285"/>
        <v>7351</v>
      </c>
      <c r="CO104" s="44">
        <f t="shared" si="285"/>
        <v>14867</v>
      </c>
      <c r="CP104" s="44">
        <f t="shared" si="285"/>
        <v>23258</v>
      </c>
      <c r="CQ104" s="44">
        <f t="shared" si="285"/>
        <v>17715</v>
      </c>
      <c r="CR104" s="44">
        <f t="shared" si="286"/>
        <v>27197</v>
      </c>
      <c r="CS104" s="44">
        <f t="shared" si="286"/>
        <v>29741</v>
      </c>
      <c r="CT104" s="44">
        <f t="shared" si="286"/>
        <v>39083</v>
      </c>
      <c r="CU104" s="44">
        <f t="shared" si="286"/>
        <v>46578</v>
      </c>
      <c r="CV104" s="44">
        <f t="shared" si="286"/>
        <v>62938</v>
      </c>
      <c r="CW104" s="44">
        <f t="shared" si="286"/>
        <v>19515</v>
      </c>
      <c r="CX104" s="44">
        <f t="shared" si="286"/>
        <v>16897</v>
      </c>
      <c r="CY104" s="44">
        <f t="shared" si="286"/>
        <v>-1466</v>
      </c>
      <c r="CZ104" s="44">
        <f t="shared" si="286"/>
        <v>-14383</v>
      </c>
      <c r="DA104" s="44">
        <f t="shared" si="286"/>
        <v>-6654</v>
      </c>
      <c r="DB104" s="44">
        <f t="shared" si="287"/>
        <v>1407</v>
      </c>
      <c r="DC104" s="44">
        <f t="shared" si="287"/>
        <v>36671</v>
      </c>
      <c r="DD104" s="44">
        <f t="shared" si="287"/>
        <v>45841</v>
      </c>
      <c r="DE104" s="44">
        <f t="shared" si="287"/>
        <v>61139</v>
      </c>
      <c r="DF104" s="44">
        <f t="shared" si="287"/>
        <v>47556</v>
      </c>
      <c r="DG104" s="44">
        <f t="shared" si="287"/>
        <v>59092</v>
      </c>
      <c r="DH104" s="44">
        <f t="shared" si="287"/>
        <v>72225</v>
      </c>
      <c r="DI104" s="44">
        <f t="shared" si="287"/>
        <v>14464</v>
      </c>
      <c r="DJ104" s="44">
        <f t="shared" si="287"/>
        <v>17112</v>
      </c>
      <c r="DK104" s="44">
        <f t="shared" si="287"/>
        <v>14675</v>
      </c>
      <c r="DL104" s="44">
        <f t="shared" si="288"/>
        <v>-21449</v>
      </c>
      <c r="DM104" s="44">
        <f t="shared" si="288"/>
        <v>-39197</v>
      </c>
      <c r="DN104" s="44">
        <f t="shared" si="288"/>
        <v>-52532</v>
      </c>
      <c r="DO104" s="44">
        <f t="shared" si="288"/>
        <v>-36133</v>
      </c>
      <c r="DP104" s="44">
        <f t="shared" si="288"/>
        <v>-44711</v>
      </c>
      <c r="DQ104" s="44">
        <f t="shared" si="288"/>
        <v>-61352</v>
      </c>
      <c r="DR104" s="44">
        <f t="shared" si="288"/>
        <v>-26976</v>
      </c>
      <c r="DS104" s="44">
        <f t="shared" si="288"/>
        <v>-36967</v>
      </c>
      <c r="DT104" s="44">
        <f t="shared" si="288"/>
        <v>-44477</v>
      </c>
      <c r="DU104" s="44">
        <f t="shared" si="288"/>
        <v>-5873</v>
      </c>
      <c r="DV104" s="44">
        <f t="shared" si="289"/>
        <v>-11235</v>
      </c>
      <c r="DW104" s="44">
        <f t="shared" si="289"/>
        <v>-18546</v>
      </c>
      <c r="DX104" s="44">
        <f t="shared" si="289"/>
        <v>-23665</v>
      </c>
      <c r="DY104" s="44">
        <f t="shared" si="289"/>
        <v>-41445</v>
      </c>
      <c r="DZ104" s="44">
        <f t="shared" si="289"/>
        <v>-53040</v>
      </c>
      <c r="EA104" s="44">
        <f t="shared" si="289"/>
        <v>-12220</v>
      </c>
      <c r="EB104" s="44">
        <f t="shared" si="289"/>
        <v>-11484</v>
      </c>
      <c r="EC104" s="44">
        <f t="shared" si="289"/>
        <v>-12996</v>
      </c>
      <c r="ED104" s="44">
        <f t="shared" si="289"/>
        <v>-3584</v>
      </c>
      <c r="EE104" s="44">
        <f t="shared" si="289"/>
        <v>-6041</v>
      </c>
      <c r="EF104" s="44">
        <f t="shared" si="290"/>
        <v>-9012</v>
      </c>
      <c r="EG104" s="44">
        <f t="shared" si="290"/>
        <v>-13936</v>
      </c>
      <c r="EH104" s="44">
        <f t="shared" si="290"/>
        <v>-26402</v>
      </c>
      <c r="EI104" s="44">
        <f t="shared" si="290"/>
        <v>-31004</v>
      </c>
      <c r="EJ104" s="44">
        <f t="shared" si="290"/>
        <v>-24227</v>
      </c>
      <c r="EK104" s="44">
        <f t="shared" si="290"/>
        <v>-39424</v>
      </c>
      <c r="EL104" s="44">
        <f t="shared" si="290"/>
        <v>-58839</v>
      </c>
    </row>
    <row r="105" spans="2:142" x14ac:dyDescent="0.3">
      <c r="B105" s="124" t="s">
        <v>47</v>
      </c>
      <c r="C105" s="124" t="s">
        <v>441</v>
      </c>
      <c r="D105" s="195" t="str">
        <f>IF(Menu!$D$12="PT",'Dados Financeiros'!B105,'Dados Financeiros'!C105)</f>
        <v>Despesas financeiras</v>
      </c>
      <c r="E105" s="35">
        <v>-6074</v>
      </c>
      <c r="F105" s="35">
        <v>-1847</v>
      </c>
      <c r="G105" s="35">
        <v>-2662</v>
      </c>
      <c r="H105" s="35">
        <v>-2595</v>
      </c>
      <c r="I105" s="35">
        <v>-1935</v>
      </c>
      <c r="J105" s="35">
        <v>-5485</v>
      </c>
      <c r="K105" s="35">
        <v>-4979</v>
      </c>
      <c r="L105" s="35">
        <v>-4367</v>
      </c>
      <c r="M105" s="35">
        <v>-3265</v>
      </c>
      <c r="N105" s="35">
        <v>-4147</v>
      </c>
      <c r="O105" s="35">
        <v>-4312</v>
      </c>
      <c r="P105" s="35">
        <v>-1548</v>
      </c>
      <c r="Q105" s="35">
        <v>-4989</v>
      </c>
      <c r="R105" s="35">
        <v>-8162</v>
      </c>
      <c r="S105" s="35">
        <v>-6637</v>
      </c>
      <c r="T105" s="35">
        <v>-11887</v>
      </c>
      <c r="U105" s="35">
        <v>-9821</v>
      </c>
      <c r="V105" s="35">
        <v>-11771</v>
      </c>
      <c r="W105" s="35">
        <v>-15710</v>
      </c>
      <c r="X105" s="35">
        <v>-10124</v>
      </c>
      <c r="Y105" s="35">
        <v>-10315</v>
      </c>
      <c r="Z105" s="35">
        <v>-8717</v>
      </c>
      <c r="AA105" s="35">
        <v>-11600</v>
      </c>
      <c r="AB105" s="35">
        <v>-10176</v>
      </c>
      <c r="AC105" s="35">
        <v>-16954</v>
      </c>
      <c r="AD105" s="35">
        <f>-34948-AB105-Z105</f>
        <v>-16055</v>
      </c>
      <c r="AE105" s="35">
        <v>-21825</v>
      </c>
      <c r="AF105" s="35">
        <v>-20762</v>
      </c>
      <c r="AG105" s="35">
        <v>-18401</v>
      </c>
      <c r="AH105" s="35">
        <v>-27404</v>
      </c>
      <c r="AI105" s="35">
        <v>-18856</v>
      </c>
      <c r="AJ105" s="35">
        <v>-22458</v>
      </c>
      <c r="AK105" s="35">
        <v>-8082</v>
      </c>
      <c r="AL105" s="35">
        <v>-10192</v>
      </c>
      <c r="AM105" s="35">
        <v>-12142</v>
      </c>
      <c r="AN105" s="4">
        <v>-11752</v>
      </c>
      <c r="AO105" s="4">
        <v>-12676</v>
      </c>
      <c r="AP105" s="4">
        <v>-12884</v>
      </c>
      <c r="AQ105" s="4">
        <v>-13335</v>
      </c>
      <c r="AR105" s="4">
        <v>-13184</v>
      </c>
      <c r="AS105" s="4">
        <v>-9289</v>
      </c>
      <c r="AT105" s="4">
        <v>-11052</v>
      </c>
      <c r="AU105" s="4">
        <v>-13623</v>
      </c>
      <c r="AV105" s="4">
        <v>-15620</v>
      </c>
      <c r="AW105" s="4">
        <v>-17741</v>
      </c>
      <c r="AX105" s="4">
        <v>-28329</v>
      </c>
      <c r="AY105" s="4">
        <v>-22748</v>
      </c>
      <c r="AZ105" s="4">
        <v>-20890</v>
      </c>
      <c r="BA105" s="94">
        <v>-19995</v>
      </c>
      <c r="BB105" s="4">
        <v>-23148</v>
      </c>
      <c r="BC105" s="4">
        <v>-22152</v>
      </c>
      <c r="BD105" s="4">
        <v>-22296</v>
      </c>
      <c r="BE105" s="4">
        <v>-19748</v>
      </c>
      <c r="BF105" s="4">
        <v>-19334</v>
      </c>
      <c r="BG105" s="4">
        <v>-14784</v>
      </c>
      <c r="BH105" s="4">
        <v>-12644</v>
      </c>
      <c r="BI105" s="4">
        <v>-13068</v>
      </c>
      <c r="BJ105" s="4">
        <v>-6460</v>
      </c>
      <c r="BK105" s="4">
        <v>-11362</v>
      </c>
      <c r="BL105" s="4">
        <v>-14240</v>
      </c>
      <c r="BM105" s="4">
        <v>-19427</v>
      </c>
      <c r="BN105" s="4">
        <v>-18325</v>
      </c>
      <c r="BO105" s="4">
        <v>-25812</v>
      </c>
      <c r="BP105" s="4">
        <v>-17924</v>
      </c>
      <c r="BQ105" s="4">
        <v>-15186</v>
      </c>
      <c r="BR105" s="4">
        <v>-12604</v>
      </c>
      <c r="BS105" s="4">
        <v>-7730</v>
      </c>
      <c r="BT105" s="4">
        <v>-5063</v>
      </c>
      <c r="BU105" s="4">
        <v>-10198</v>
      </c>
      <c r="BV105" s="4">
        <v>-10464</v>
      </c>
      <c r="BW105" s="4">
        <v>-9156</v>
      </c>
      <c r="BX105" s="4">
        <v>-9354</v>
      </c>
      <c r="BY105" s="4">
        <v>-12581</v>
      </c>
      <c r="BZ105" s="4">
        <v>-12960</v>
      </c>
      <c r="CA105" s="4">
        <v>-18188</v>
      </c>
      <c r="CB105" s="4">
        <v>-13507</v>
      </c>
      <c r="CC105" s="4">
        <v>-15114</v>
      </c>
      <c r="CD105" s="4">
        <v>-17026</v>
      </c>
      <c r="CE105" s="4">
        <v>-18904</v>
      </c>
      <c r="CF105" s="4">
        <v>-21332</v>
      </c>
      <c r="CH105" s="134">
        <f t="shared" si="285"/>
        <v>-7921</v>
      </c>
      <c r="CI105" s="134">
        <f t="shared" si="285"/>
        <v>-10583</v>
      </c>
      <c r="CJ105" s="134">
        <f t="shared" si="285"/>
        <v>-13178</v>
      </c>
      <c r="CK105" s="134">
        <f t="shared" si="285"/>
        <v>-7420</v>
      </c>
      <c r="CL105" s="134">
        <f t="shared" si="285"/>
        <v>-12399</v>
      </c>
      <c r="CM105" s="134">
        <f t="shared" si="285"/>
        <v>-16766</v>
      </c>
      <c r="CN105" s="134">
        <f t="shared" si="285"/>
        <v>-7412</v>
      </c>
      <c r="CO105" s="134">
        <f t="shared" si="285"/>
        <v>-11724</v>
      </c>
      <c r="CP105" s="134">
        <f t="shared" si="285"/>
        <v>-13272</v>
      </c>
      <c r="CQ105" s="134">
        <f t="shared" si="285"/>
        <v>-13151</v>
      </c>
      <c r="CR105" s="134">
        <f t="shared" si="286"/>
        <v>-19788</v>
      </c>
      <c r="CS105" s="134">
        <f t="shared" si="286"/>
        <v>-31675</v>
      </c>
      <c r="CT105" s="134">
        <f t="shared" si="286"/>
        <v>-21592</v>
      </c>
      <c r="CU105" s="134">
        <f t="shared" si="286"/>
        <v>-37302</v>
      </c>
      <c r="CV105" s="134">
        <f t="shared" si="286"/>
        <v>-47426</v>
      </c>
      <c r="CW105" s="134">
        <f t="shared" si="286"/>
        <v>-18893</v>
      </c>
      <c r="CX105" s="134">
        <f t="shared" si="286"/>
        <v>-34948</v>
      </c>
      <c r="CY105" s="134">
        <f t="shared" si="286"/>
        <v>-55710</v>
      </c>
      <c r="CZ105" s="134">
        <f t="shared" si="286"/>
        <v>-45805</v>
      </c>
      <c r="DA105" s="134">
        <f t="shared" si="286"/>
        <v>-64661</v>
      </c>
      <c r="DB105" s="134">
        <f t="shared" si="287"/>
        <v>-87119</v>
      </c>
      <c r="DC105" s="134">
        <f t="shared" si="287"/>
        <v>-18274</v>
      </c>
      <c r="DD105" s="134">
        <f t="shared" si="287"/>
        <v>-30416</v>
      </c>
      <c r="DE105" s="134">
        <f t="shared" si="287"/>
        <v>-42168</v>
      </c>
      <c r="DF105" s="134">
        <f t="shared" si="287"/>
        <v>-25560</v>
      </c>
      <c r="DG105" s="134">
        <f t="shared" si="287"/>
        <v>-38895</v>
      </c>
      <c r="DH105" s="134">
        <f t="shared" si="287"/>
        <v>-52079</v>
      </c>
      <c r="DI105" s="134">
        <f t="shared" si="287"/>
        <v>-20341</v>
      </c>
      <c r="DJ105" s="134">
        <f t="shared" si="287"/>
        <v>-33964</v>
      </c>
      <c r="DK105" s="134">
        <f t="shared" si="287"/>
        <v>-49584</v>
      </c>
      <c r="DL105" s="134">
        <f t="shared" si="288"/>
        <v>-46070</v>
      </c>
      <c r="DM105" s="134">
        <f t="shared" si="288"/>
        <v>-68818</v>
      </c>
      <c r="DN105" s="134">
        <f t="shared" si="288"/>
        <v>-89708</v>
      </c>
      <c r="DO105" s="134">
        <f t="shared" si="288"/>
        <v>-43143</v>
      </c>
      <c r="DP105" s="134">
        <f t="shared" si="288"/>
        <v>-65295</v>
      </c>
      <c r="DQ105" s="134">
        <f t="shared" si="288"/>
        <v>-87591</v>
      </c>
      <c r="DR105" s="134">
        <f t="shared" si="288"/>
        <v>-39082</v>
      </c>
      <c r="DS105" s="134">
        <f t="shared" si="288"/>
        <v>-53866</v>
      </c>
      <c r="DT105" s="134">
        <f t="shared" si="288"/>
        <v>-66510</v>
      </c>
      <c r="DU105" s="134">
        <f t="shared" si="288"/>
        <v>-19528</v>
      </c>
      <c r="DV105" s="134">
        <f t="shared" si="289"/>
        <v>-30890</v>
      </c>
      <c r="DW105" s="134">
        <f t="shared" si="289"/>
        <v>-45130</v>
      </c>
      <c r="DX105" s="134">
        <f t="shared" si="289"/>
        <v>-37752</v>
      </c>
      <c r="DY105" s="134">
        <f t="shared" si="289"/>
        <v>-63564</v>
      </c>
      <c r="DZ105" s="134">
        <f t="shared" si="289"/>
        <v>-81488</v>
      </c>
      <c r="EA105" s="134">
        <f t="shared" si="289"/>
        <v>-27790</v>
      </c>
      <c r="EB105" s="134">
        <f t="shared" si="289"/>
        <v>-35520</v>
      </c>
      <c r="EC105" s="134">
        <f t="shared" si="289"/>
        <v>-40583</v>
      </c>
      <c r="ED105" s="134">
        <f t="shared" si="289"/>
        <v>-20662</v>
      </c>
      <c r="EE105" s="134">
        <f t="shared" si="289"/>
        <v>-29818</v>
      </c>
      <c r="EF105" s="134">
        <f t="shared" si="290"/>
        <v>-39172</v>
      </c>
      <c r="EG105" s="134">
        <f t="shared" si="290"/>
        <v>-25541</v>
      </c>
      <c r="EH105" s="134">
        <f t="shared" si="290"/>
        <v>-43729</v>
      </c>
      <c r="EI105" s="134">
        <f t="shared" si="290"/>
        <v>-57236</v>
      </c>
      <c r="EJ105" s="134">
        <f t="shared" si="290"/>
        <v>-32140</v>
      </c>
      <c r="EK105" s="134">
        <f t="shared" si="290"/>
        <v>-51044</v>
      </c>
      <c r="EL105" s="134">
        <f t="shared" si="290"/>
        <v>-72376</v>
      </c>
    </row>
    <row r="106" spans="2:142" ht="14.4" thickBot="1" x14ac:dyDescent="0.35">
      <c r="B106" s="126" t="s">
        <v>46</v>
      </c>
      <c r="C106" s="126" t="s">
        <v>442</v>
      </c>
      <c r="D106" s="193" t="str">
        <f>IF(Menu!$D$12="PT",'Dados Financeiros'!B106,'Dados Financeiros'!C106)</f>
        <v>Receitas financeiras</v>
      </c>
      <c r="E106" s="39">
        <v>10402</v>
      </c>
      <c r="F106" s="39">
        <v>10656</v>
      </c>
      <c r="G106" s="39">
        <v>9284</v>
      </c>
      <c r="H106" s="39">
        <v>9476</v>
      </c>
      <c r="I106" s="39">
        <v>9638</v>
      </c>
      <c r="J106" s="39">
        <v>15054</v>
      </c>
      <c r="K106" s="39">
        <v>15521</v>
      </c>
      <c r="L106" s="39">
        <v>14058</v>
      </c>
      <c r="M106" s="39">
        <v>7223</v>
      </c>
      <c r="N106" s="39">
        <v>7540</v>
      </c>
      <c r="O106" s="39">
        <v>11828</v>
      </c>
      <c r="P106" s="39">
        <v>9939</v>
      </c>
      <c r="Q106" s="39">
        <v>17002</v>
      </c>
      <c r="R106" s="39">
        <v>13864</v>
      </c>
      <c r="S106" s="39">
        <v>16119</v>
      </c>
      <c r="T106" s="39">
        <v>14431</v>
      </c>
      <c r="U106" s="39">
        <v>25571</v>
      </c>
      <c r="V106" s="39">
        <v>35104</v>
      </c>
      <c r="W106" s="39">
        <v>23205</v>
      </c>
      <c r="X106" s="39">
        <v>26484</v>
      </c>
      <c r="Y106" s="39">
        <v>20889</v>
      </c>
      <c r="Z106" s="39">
        <v>15807</v>
      </c>
      <c r="AA106" s="39">
        <v>32308</v>
      </c>
      <c r="AB106" s="39">
        <v>22601</v>
      </c>
      <c r="AC106" s="39">
        <v>20372</v>
      </c>
      <c r="AD106" s="39">
        <f>51845-AB106-Z106</f>
        <v>13437</v>
      </c>
      <c r="AE106" s="39">
        <v>6914</v>
      </c>
      <c r="AF106" s="39">
        <v>2399</v>
      </c>
      <c r="AG106" s="39">
        <v>12536</v>
      </c>
      <c r="AH106" s="39">
        <v>18886</v>
      </c>
      <c r="AI106" s="39">
        <v>26585</v>
      </c>
      <c r="AJ106" s="39">
        <v>30519</v>
      </c>
      <c r="AK106" s="39">
        <v>27072</v>
      </c>
      <c r="AL106" s="39">
        <v>27873</v>
      </c>
      <c r="AM106" s="39">
        <v>21312</v>
      </c>
      <c r="AN106" s="39">
        <v>27050</v>
      </c>
      <c r="AO106" s="39">
        <v>35570</v>
      </c>
      <c r="AP106" s="39">
        <v>37546</v>
      </c>
      <c r="AQ106" s="39">
        <v>24871</v>
      </c>
      <c r="AR106" s="39">
        <v>26317</v>
      </c>
      <c r="AS106" s="39">
        <v>21624</v>
      </c>
      <c r="AT106" s="39">
        <v>13181</v>
      </c>
      <c r="AU106" s="39">
        <v>16271</v>
      </c>
      <c r="AV106" s="39">
        <v>13183</v>
      </c>
      <c r="AW106" s="4">
        <v>17419</v>
      </c>
      <c r="AX106" s="4">
        <v>7202</v>
      </c>
      <c r="AY106" s="4">
        <v>5000</v>
      </c>
      <c r="AZ106" s="4">
        <v>7555</v>
      </c>
      <c r="BA106" s="94">
        <v>5521</v>
      </c>
      <c r="BB106" s="4">
        <v>1489</v>
      </c>
      <c r="BC106" s="4">
        <v>13574</v>
      </c>
      <c r="BD106" s="4">
        <v>5655</v>
      </c>
      <c r="BE106" s="4">
        <v>8456</v>
      </c>
      <c r="BF106" s="4">
        <v>3650</v>
      </c>
      <c r="BG106" s="4">
        <v>4793</v>
      </c>
      <c r="BH106" s="4">
        <v>5134</v>
      </c>
      <c r="BI106" s="4">
        <v>7382</v>
      </c>
      <c r="BJ106" s="4">
        <v>6273</v>
      </c>
      <c r="BK106" s="4">
        <v>6000</v>
      </c>
      <c r="BL106" s="4">
        <v>6929</v>
      </c>
      <c r="BM106" s="4">
        <v>7845</v>
      </c>
      <c r="BN106" s="4">
        <v>6242</v>
      </c>
      <c r="BO106" s="4">
        <v>8032</v>
      </c>
      <c r="BP106" s="4">
        <v>6329</v>
      </c>
      <c r="BQ106" s="4">
        <v>6953</v>
      </c>
      <c r="BR106" s="4">
        <v>8617</v>
      </c>
      <c r="BS106" s="4">
        <v>8466</v>
      </c>
      <c r="BT106" s="4">
        <v>3551</v>
      </c>
      <c r="BU106" s="4">
        <v>8321</v>
      </c>
      <c r="BV106" s="4">
        <v>8757</v>
      </c>
      <c r="BW106" s="4">
        <v>6699</v>
      </c>
      <c r="BX106" s="4">
        <v>6383</v>
      </c>
      <c r="BY106" s="4">
        <v>5064</v>
      </c>
      <c r="BZ106" s="4">
        <v>6541</v>
      </c>
      <c r="CA106" s="4">
        <v>5722</v>
      </c>
      <c r="CB106" s="4">
        <v>8905</v>
      </c>
      <c r="CC106" s="4">
        <v>4926</v>
      </c>
      <c r="CD106" s="4">
        <v>2987</v>
      </c>
      <c r="CE106" s="4">
        <v>3707</v>
      </c>
      <c r="CF106" s="4">
        <v>1917</v>
      </c>
      <c r="CH106" s="39">
        <f t="shared" si="285"/>
        <v>21058</v>
      </c>
      <c r="CI106" s="39">
        <f t="shared" si="285"/>
        <v>30342</v>
      </c>
      <c r="CJ106" s="39">
        <f t="shared" si="285"/>
        <v>39818</v>
      </c>
      <c r="CK106" s="39">
        <f t="shared" si="285"/>
        <v>24692</v>
      </c>
      <c r="CL106" s="39">
        <f t="shared" si="285"/>
        <v>40213</v>
      </c>
      <c r="CM106" s="39">
        <f t="shared" si="285"/>
        <v>54271</v>
      </c>
      <c r="CN106" s="39">
        <f t="shared" si="285"/>
        <v>14763</v>
      </c>
      <c r="CO106" s="39">
        <f t="shared" si="285"/>
        <v>26591</v>
      </c>
      <c r="CP106" s="39">
        <f t="shared" si="285"/>
        <v>36530</v>
      </c>
      <c r="CQ106" s="39">
        <f t="shared" si="285"/>
        <v>30866</v>
      </c>
      <c r="CR106" s="39">
        <f t="shared" si="286"/>
        <v>46985</v>
      </c>
      <c r="CS106" s="39">
        <f t="shared" si="286"/>
        <v>61416</v>
      </c>
      <c r="CT106" s="39">
        <f t="shared" si="286"/>
        <v>60675</v>
      </c>
      <c r="CU106" s="39">
        <f t="shared" si="286"/>
        <v>83880</v>
      </c>
      <c r="CV106" s="39">
        <f t="shared" si="286"/>
        <v>110364</v>
      </c>
      <c r="CW106" s="39">
        <f t="shared" si="286"/>
        <v>38408</v>
      </c>
      <c r="CX106" s="39">
        <f t="shared" si="286"/>
        <v>51845</v>
      </c>
      <c r="CY106" s="39">
        <f t="shared" si="286"/>
        <v>54244</v>
      </c>
      <c r="CZ106" s="39">
        <f t="shared" si="286"/>
        <v>31422</v>
      </c>
      <c r="DA106" s="39">
        <f t="shared" si="286"/>
        <v>58007</v>
      </c>
      <c r="DB106" s="39">
        <f t="shared" si="287"/>
        <v>88526</v>
      </c>
      <c r="DC106" s="39">
        <f t="shared" si="287"/>
        <v>54945</v>
      </c>
      <c r="DD106" s="39">
        <f t="shared" si="287"/>
        <v>76257</v>
      </c>
      <c r="DE106" s="39">
        <f t="shared" si="287"/>
        <v>103307</v>
      </c>
      <c r="DF106" s="39">
        <f t="shared" si="287"/>
        <v>73116</v>
      </c>
      <c r="DG106" s="39">
        <f t="shared" si="287"/>
        <v>97987</v>
      </c>
      <c r="DH106" s="39">
        <f t="shared" si="287"/>
        <v>124304</v>
      </c>
      <c r="DI106" s="39">
        <f t="shared" si="287"/>
        <v>34805</v>
      </c>
      <c r="DJ106" s="39">
        <f t="shared" si="287"/>
        <v>51076</v>
      </c>
      <c r="DK106" s="39">
        <f t="shared" si="287"/>
        <v>64259</v>
      </c>
      <c r="DL106" s="39">
        <f t="shared" si="288"/>
        <v>24621</v>
      </c>
      <c r="DM106" s="39">
        <f t="shared" si="288"/>
        <v>29621</v>
      </c>
      <c r="DN106" s="39">
        <f t="shared" si="288"/>
        <v>37176</v>
      </c>
      <c r="DO106" s="39">
        <f t="shared" si="288"/>
        <v>7010</v>
      </c>
      <c r="DP106" s="39">
        <f t="shared" si="288"/>
        <v>20584</v>
      </c>
      <c r="DQ106" s="39">
        <f t="shared" si="288"/>
        <v>26239</v>
      </c>
      <c r="DR106" s="39">
        <f t="shared" si="288"/>
        <v>12106</v>
      </c>
      <c r="DS106" s="39">
        <f t="shared" si="288"/>
        <v>16899</v>
      </c>
      <c r="DT106" s="39">
        <f t="shared" si="288"/>
        <v>22033</v>
      </c>
      <c r="DU106" s="39">
        <f t="shared" si="288"/>
        <v>13655</v>
      </c>
      <c r="DV106" s="39">
        <f t="shared" si="289"/>
        <v>19655</v>
      </c>
      <c r="DW106" s="39">
        <f t="shared" si="289"/>
        <v>26584</v>
      </c>
      <c r="DX106" s="39">
        <f t="shared" si="289"/>
        <v>14087</v>
      </c>
      <c r="DY106" s="39">
        <f t="shared" si="289"/>
        <v>22119</v>
      </c>
      <c r="DZ106" s="39">
        <f t="shared" si="289"/>
        <v>28448</v>
      </c>
      <c r="EA106" s="39">
        <f t="shared" si="289"/>
        <v>15570</v>
      </c>
      <c r="EB106" s="39">
        <f t="shared" si="289"/>
        <v>24036</v>
      </c>
      <c r="EC106" s="39">
        <f t="shared" si="289"/>
        <v>27587</v>
      </c>
      <c r="ED106" s="39">
        <f t="shared" si="289"/>
        <v>17078</v>
      </c>
      <c r="EE106" s="39">
        <f t="shared" si="289"/>
        <v>23777</v>
      </c>
      <c r="EF106" s="39">
        <f t="shared" si="290"/>
        <v>30160</v>
      </c>
      <c r="EG106" s="39">
        <f t="shared" si="290"/>
        <v>11605</v>
      </c>
      <c r="EH106" s="39">
        <f t="shared" si="290"/>
        <v>17327</v>
      </c>
      <c r="EI106" s="39">
        <f t="shared" si="290"/>
        <v>26232</v>
      </c>
      <c r="EJ106" s="39">
        <f t="shared" si="290"/>
        <v>7913</v>
      </c>
      <c r="EK106" s="39">
        <f t="shared" si="290"/>
        <v>11620</v>
      </c>
      <c r="EL106" s="39">
        <f t="shared" si="290"/>
        <v>13537</v>
      </c>
    </row>
    <row r="107" spans="2:142" ht="14.4" thickBot="1" x14ac:dyDescent="0.35">
      <c r="B107" s="27" t="s">
        <v>38</v>
      </c>
      <c r="C107" s="118" t="s">
        <v>443</v>
      </c>
      <c r="D107" s="181" t="str">
        <f>IF(Menu!$D$12="PT",'Dados Financeiros'!B107,'Dados Financeiros'!C107)</f>
        <v>Resultado operacional</v>
      </c>
      <c r="E107" s="20">
        <f t="shared" ref="E107:AV107" si="298">E96+E98+E104</f>
        <v>18588</v>
      </c>
      <c r="F107" s="20">
        <f t="shared" si="298"/>
        <v>21706</v>
      </c>
      <c r="G107" s="20">
        <f t="shared" si="298"/>
        <v>25917</v>
      </c>
      <c r="H107" s="20">
        <f t="shared" si="298"/>
        <v>2111</v>
      </c>
      <c r="I107" s="20">
        <f t="shared" si="298"/>
        <v>37246</v>
      </c>
      <c r="J107" s="20">
        <f t="shared" si="298"/>
        <v>28207</v>
      </c>
      <c r="K107" s="20">
        <f t="shared" si="298"/>
        <v>19606</v>
      </c>
      <c r="L107" s="20">
        <f t="shared" si="298"/>
        <v>17107</v>
      </c>
      <c r="M107" s="20">
        <f t="shared" si="298"/>
        <v>29391</v>
      </c>
      <c r="N107" s="20">
        <f t="shared" si="298"/>
        <v>41209</v>
      </c>
      <c r="O107" s="20">
        <f t="shared" si="298"/>
        <v>47238</v>
      </c>
      <c r="P107" s="20">
        <f t="shared" si="298"/>
        <v>36960</v>
      </c>
      <c r="Q107" s="20">
        <f t="shared" si="298"/>
        <v>51175</v>
      </c>
      <c r="R107" s="20">
        <f t="shared" si="298"/>
        <v>56129</v>
      </c>
      <c r="S107" s="20">
        <f t="shared" si="298"/>
        <v>71913</v>
      </c>
      <c r="T107" s="20">
        <f t="shared" si="298"/>
        <v>91634</v>
      </c>
      <c r="U107" s="20">
        <f t="shared" si="298"/>
        <v>83355</v>
      </c>
      <c r="V107" s="20">
        <f t="shared" si="298"/>
        <v>87086</v>
      </c>
      <c r="W107" s="20">
        <f t="shared" si="298"/>
        <v>64989</v>
      </c>
      <c r="X107" s="20">
        <f t="shared" si="298"/>
        <v>-22942</v>
      </c>
      <c r="Y107" s="20">
        <f t="shared" si="298"/>
        <v>2774</v>
      </c>
      <c r="Z107" s="20">
        <f t="shared" si="298"/>
        <v>1442</v>
      </c>
      <c r="AA107" s="20">
        <f t="shared" si="298"/>
        <v>15665</v>
      </c>
      <c r="AB107" s="20">
        <f t="shared" si="298"/>
        <v>13832</v>
      </c>
      <c r="AC107" s="20">
        <f t="shared" si="298"/>
        <v>-47344</v>
      </c>
      <c r="AD107" s="20">
        <f t="shared" si="298"/>
        <v>-49359</v>
      </c>
      <c r="AE107" s="20">
        <f t="shared" si="298"/>
        <v>-113973</v>
      </c>
      <c r="AF107" s="20">
        <f t="shared" si="298"/>
        <v>-112525</v>
      </c>
      <c r="AG107" s="20">
        <f t="shared" si="298"/>
        <v>75932</v>
      </c>
      <c r="AH107" s="20">
        <f t="shared" si="298"/>
        <v>100546</v>
      </c>
      <c r="AI107" s="20">
        <f t="shared" si="298"/>
        <v>84058</v>
      </c>
      <c r="AJ107" s="20">
        <f t="shared" si="298"/>
        <v>62930</v>
      </c>
      <c r="AK107" s="20">
        <f t="shared" si="298"/>
        <v>52666</v>
      </c>
      <c r="AL107" s="20">
        <f t="shared" si="298"/>
        <v>107313</v>
      </c>
      <c r="AM107" s="20">
        <f t="shared" si="298"/>
        <v>55837</v>
      </c>
      <c r="AN107" s="20">
        <f t="shared" si="298"/>
        <v>28496</v>
      </c>
      <c r="AO107" s="20">
        <f t="shared" si="298"/>
        <v>57035</v>
      </c>
      <c r="AP107" s="20">
        <f t="shared" si="298"/>
        <v>61839</v>
      </c>
      <c r="AQ107" s="20">
        <f t="shared" si="298"/>
        <v>34428</v>
      </c>
      <c r="AR107" s="20">
        <f t="shared" si="298"/>
        <v>168846</v>
      </c>
      <c r="AS107" s="20">
        <f t="shared" si="298"/>
        <v>6873</v>
      </c>
      <c r="AT107" s="20">
        <f t="shared" si="298"/>
        <v>-92617</v>
      </c>
      <c r="AU107" s="20">
        <f t="shared" si="298"/>
        <v>-111397</v>
      </c>
      <c r="AV107" s="20">
        <f t="shared" si="298"/>
        <v>-253261</v>
      </c>
      <c r="AW107" s="20">
        <f t="shared" ref="AW107:AX107" si="299">AW96+AW98+AW104</f>
        <v>-62077</v>
      </c>
      <c r="AX107" s="20">
        <f t="shared" si="299"/>
        <v>-141854</v>
      </c>
      <c r="AY107" s="20">
        <f t="shared" ref="AY107:BC107" si="300">AY96+AY98+AY104</f>
        <v>-144031</v>
      </c>
      <c r="AZ107" s="20">
        <f t="shared" ref="AZ107:BB107" si="301">AZ96+AZ98+AZ104</f>
        <v>-178120</v>
      </c>
      <c r="BA107" s="20">
        <f t="shared" si="301"/>
        <v>-51797</v>
      </c>
      <c r="BB107" s="20">
        <f t="shared" si="301"/>
        <v>-85378</v>
      </c>
      <c r="BC107" s="20">
        <f t="shared" si="300"/>
        <v>-75671</v>
      </c>
      <c r="BD107" s="20">
        <f t="shared" ref="BD107:BE107" si="302">BD96+BD98+BD104</f>
        <v>-65204</v>
      </c>
      <c r="BE107" s="20">
        <f t="shared" si="302"/>
        <v>-302</v>
      </c>
      <c r="BF107" s="20">
        <f t="shared" ref="BF107:BG107" si="303">BF96+BF98+BF104</f>
        <v>-143848</v>
      </c>
      <c r="BG107" s="20">
        <f t="shared" si="303"/>
        <v>-53381</v>
      </c>
      <c r="BH107" s="20">
        <f t="shared" ref="BH107:BM107" si="304">BH96+BH98+BH104</f>
        <v>-59180</v>
      </c>
      <c r="BI107" s="20">
        <f t="shared" si="304"/>
        <v>-58103</v>
      </c>
      <c r="BJ107" s="20">
        <f t="shared" si="304"/>
        <v>-39415</v>
      </c>
      <c r="BK107" s="20">
        <f t="shared" si="304"/>
        <v>-34288</v>
      </c>
      <c r="BL107" s="20">
        <f t="shared" si="304"/>
        <v>-29301</v>
      </c>
      <c r="BM107" s="20">
        <f t="shared" si="304"/>
        <v>-25509</v>
      </c>
      <c r="BN107" s="20">
        <f>BN96+BN98+BN104</f>
        <v>-53175</v>
      </c>
      <c r="BO107" s="20">
        <v>-44109.5</v>
      </c>
      <c r="BP107" s="20">
        <f>BP96+BP98+BP104</f>
        <v>-58356.49</v>
      </c>
      <c r="BQ107" s="20">
        <v>-5656</v>
      </c>
      <c r="BR107" s="20">
        <f>BR96+BR98+BR104</f>
        <v>-8451</v>
      </c>
      <c r="BS107" s="20">
        <v>4954</v>
      </c>
      <c r="BT107" s="20">
        <v>18828</v>
      </c>
      <c r="BU107" s="20">
        <v>7663</v>
      </c>
      <c r="BV107" s="20">
        <v>7731</v>
      </c>
      <c r="BW107" s="20">
        <v>-5423</v>
      </c>
      <c r="BX107" s="20">
        <f t="shared" ref="BX107:CC107" si="305">+BX104+BX98+BX96</f>
        <v>-53376</v>
      </c>
      <c r="BY107" s="20">
        <f t="shared" si="305"/>
        <v>-18521</v>
      </c>
      <c r="BZ107" s="20">
        <f t="shared" si="305"/>
        <v>-28975</v>
      </c>
      <c r="CA107" s="20">
        <f t="shared" si="305"/>
        <v>-39939</v>
      </c>
      <c r="CB107" s="20">
        <f t="shared" si="305"/>
        <v>-50997.999999999985</v>
      </c>
      <c r="CC107" s="20">
        <f t="shared" si="305"/>
        <v>-6309</v>
      </c>
      <c r="CD107" s="20">
        <f t="shared" ref="CD107:CE107" si="306">+CD104+CD98+CD96</f>
        <v>-58154</v>
      </c>
      <c r="CE107" s="20">
        <f t="shared" si="306"/>
        <v>-5881</v>
      </c>
      <c r="CF107" s="20">
        <f t="shared" ref="CF107" si="307">+CF104+CF98+CF96</f>
        <v>-23608</v>
      </c>
      <c r="CH107" s="20">
        <f t="shared" si="285"/>
        <v>40294</v>
      </c>
      <c r="CI107" s="20">
        <f t="shared" si="285"/>
        <v>66211</v>
      </c>
      <c r="CJ107" s="20">
        <f t="shared" si="285"/>
        <v>68322</v>
      </c>
      <c r="CK107" s="20">
        <f t="shared" si="285"/>
        <v>65453</v>
      </c>
      <c r="CL107" s="20">
        <f t="shared" si="285"/>
        <v>85059</v>
      </c>
      <c r="CM107" s="20">
        <f t="shared" si="285"/>
        <v>102166</v>
      </c>
      <c r="CN107" s="20">
        <f t="shared" si="285"/>
        <v>70600</v>
      </c>
      <c r="CO107" s="20">
        <f t="shared" si="285"/>
        <v>117838</v>
      </c>
      <c r="CP107" s="20">
        <f t="shared" si="285"/>
        <v>154798</v>
      </c>
      <c r="CQ107" s="20">
        <f t="shared" si="285"/>
        <v>107304</v>
      </c>
      <c r="CR107" s="20">
        <f t="shared" si="286"/>
        <v>179217</v>
      </c>
      <c r="CS107" s="20">
        <f t="shared" si="286"/>
        <v>270851</v>
      </c>
      <c r="CT107" s="20">
        <f t="shared" si="286"/>
        <v>170441</v>
      </c>
      <c r="CU107" s="20">
        <f t="shared" si="286"/>
        <v>235430</v>
      </c>
      <c r="CV107" s="20">
        <f t="shared" si="286"/>
        <v>212488</v>
      </c>
      <c r="CW107" s="20">
        <f t="shared" si="286"/>
        <v>15274</v>
      </c>
      <c r="CX107" s="20">
        <f t="shared" si="286"/>
        <v>-34085</v>
      </c>
      <c r="CY107" s="20">
        <f t="shared" si="286"/>
        <v>-146610</v>
      </c>
      <c r="CZ107" s="20">
        <f t="shared" si="286"/>
        <v>176478</v>
      </c>
      <c r="DA107" s="20">
        <f t="shared" si="286"/>
        <v>260536</v>
      </c>
      <c r="DB107" s="20">
        <f t="shared" si="287"/>
        <v>323466</v>
      </c>
      <c r="DC107" s="20">
        <f t="shared" si="287"/>
        <v>159979</v>
      </c>
      <c r="DD107" s="20">
        <f t="shared" si="287"/>
        <v>215816</v>
      </c>
      <c r="DE107" s="20">
        <f t="shared" si="287"/>
        <v>244312</v>
      </c>
      <c r="DF107" s="20">
        <f t="shared" si="287"/>
        <v>118874</v>
      </c>
      <c r="DG107" s="20">
        <f t="shared" si="287"/>
        <v>153302</v>
      </c>
      <c r="DH107" s="20">
        <f t="shared" si="287"/>
        <v>322148</v>
      </c>
      <c r="DI107" s="20">
        <f t="shared" si="287"/>
        <v>-85744</v>
      </c>
      <c r="DJ107" s="20">
        <f t="shared" si="287"/>
        <v>-197141</v>
      </c>
      <c r="DK107" s="20">
        <f t="shared" si="287"/>
        <v>-450402</v>
      </c>
      <c r="DL107" s="20">
        <f t="shared" si="288"/>
        <v>-203931</v>
      </c>
      <c r="DM107" s="20">
        <f t="shared" si="288"/>
        <v>-347962</v>
      </c>
      <c r="DN107" s="20">
        <f t="shared" si="288"/>
        <v>-526082</v>
      </c>
      <c r="DO107" s="20">
        <f t="shared" si="288"/>
        <v>-137175</v>
      </c>
      <c r="DP107" s="20">
        <f t="shared" si="288"/>
        <v>-212846</v>
      </c>
      <c r="DQ107" s="20">
        <f t="shared" si="288"/>
        <v>-278050</v>
      </c>
      <c r="DR107" s="20">
        <f t="shared" si="288"/>
        <v>-144150</v>
      </c>
      <c r="DS107" s="20">
        <f t="shared" si="288"/>
        <v>-197531</v>
      </c>
      <c r="DT107" s="20">
        <f t="shared" si="288"/>
        <v>-256711</v>
      </c>
      <c r="DU107" s="20">
        <f t="shared" si="288"/>
        <v>-97518</v>
      </c>
      <c r="DV107" s="20">
        <f t="shared" si="289"/>
        <v>-131806</v>
      </c>
      <c r="DW107" s="20">
        <f t="shared" si="289"/>
        <v>-161107</v>
      </c>
      <c r="DX107" s="20">
        <f t="shared" si="289"/>
        <v>-78684</v>
      </c>
      <c r="DY107" s="20">
        <f t="shared" si="289"/>
        <v>-122793.5</v>
      </c>
      <c r="DZ107" s="20">
        <f t="shared" si="289"/>
        <v>-181149.99</v>
      </c>
      <c r="EA107" s="20">
        <f t="shared" si="289"/>
        <v>-14107</v>
      </c>
      <c r="EB107" s="20">
        <f t="shared" si="289"/>
        <v>-9153</v>
      </c>
      <c r="EC107" s="20">
        <f t="shared" si="289"/>
        <v>9675</v>
      </c>
      <c r="ED107" s="20">
        <f t="shared" si="289"/>
        <v>15394</v>
      </c>
      <c r="EE107" s="20">
        <f t="shared" si="289"/>
        <v>9971</v>
      </c>
      <c r="EF107" s="20">
        <f t="shared" si="290"/>
        <v>-43405</v>
      </c>
      <c r="EG107" s="20">
        <f t="shared" si="290"/>
        <v>-47496</v>
      </c>
      <c r="EH107" s="20">
        <f t="shared" si="290"/>
        <v>-87435</v>
      </c>
      <c r="EI107" s="20">
        <f t="shared" si="290"/>
        <v>-138433</v>
      </c>
      <c r="EJ107" s="20">
        <f t="shared" si="290"/>
        <v>-64463</v>
      </c>
      <c r="EK107" s="20">
        <f t="shared" si="290"/>
        <v>-70344</v>
      </c>
      <c r="EL107" s="20">
        <f t="shared" si="290"/>
        <v>-93952</v>
      </c>
    </row>
    <row r="108" spans="2:142" x14ac:dyDescent="0.3">
      <c r="B108" s="12"/>
      <c r="C108" s="119"/>
      <c r="D108" s="185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  <c r="BI108" s="92"/>
      <c r="BJ108" s="92"/>
      <c r="BK108" s="92"/>
      <c r="BL108" s="92"/>
      <c r="BM108" s="92"/>
      <c r="BN108" s="92"/>
      <c r="BO108" s="92"/>
      <c r="BP108" s="92"/>
      <c r="BQ108" s="92"/>
      <c r="BR108" s="92"/>
      <c r="BS108" s="92"/>
      <c r="BT108" s="92"/>
      <c r="BU108" s="92"/>
      <c r="BV108" s="92"/>
      <c r="BW108" s="92"/>
      <c r="BX108" s="92"/>
      <c r="BY108" s="92"/>
      <c r="BZ108" s="92"/>
      <c r="CA108" s="92"/>
      <c r="CB108" s="92"/>
      <c r="CC108" s="92"/>
      <c r="CD108" s="92"/>
      <c r="CE108" s="92"/>
      <c r="CF108" s="92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</row>
    <row r="109" spans="2:142" x14ac:dyDescent="0.3">
      <c r="B109" s="115" t="s">
        <v>45</v>
      </c>
      <c r="C109" s="115" t="s">
        <v>444</v>
      </c>
      <c r="D109" s="183" t="str">
        <f>IF(Menu!$D$12="PT",'Dados Financeiros'!B109,'Dados Financeiros'!C109)</f>
        <v>Outras receitas (despesas) não operacionais</v>
      </c>
      <c r="E109" s="4">
        <v>-39509</v>
      </c>
      <c r="F109" s="4">
        <v>438</v>
      </c>
      <c r="G109" s="4">
        <v>291</v>
      </c>
      <c r="H109" s="4">
        <v>-231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/>
      <c r="AA109" s="4">
        <v>0</v>
      </c>
      <c r="AB109" s="4"/>
      <c r="AC109" s="4">
        <v>0</v>
      </c>
      <c r="AD109" s="4"/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86">
        <v>0</v>
      </c>
      <c r="AO109" s="86">
        <v>0</v>
      </c>
      <c r="AP109" s="86">
        <v>0</v>
      </c>
      <c r="AQ109" s="86">
        <v>0</v>
      </c>
      <c r="AR109" s="86">
        <v>0</v>
      </c>
      <c r="AS109" s="86">
        <v>0</v>
      </c>
      <c r="AT109" s="86">
        <v>0</v>
      </c>
      <c r="AU109" s="86">
        <v>0</v>
      </c>
      <c r="AV109" s="86">
        <v>0</v>
      </c>
      <c r="AW109" s="86">
        <v>0</v>
      </c>
      <c r="AX109" s="86">
        <v>0</v>
      </c>
      <c r="AY109" s="86">
        <v>0</v>
      </c>
      <c r="AZ109" s="86">
        <v>0</v>
      </c>
      <c r="BA109" s="104">
        <v>0</v>
      </c>
      <c r="BB109" s="86">
        <v>0</v>
      </c>
      <c r="BC109" s="86">
        <v>0</v>
      </c>
      <c r="BD109" s="86">
        <v>0</v>
      </c>
      <c r="BE109" s="86">
        <v>0</v>
      </c>
      <c r="BF109" s="86">
        <v>0</v>
      </c>
      <c r="BG109" s="86">
        <v>0</v>
      </c>
      <c r="BH109" s="86">
        <v>0</v>
      </c>
      <c r="BI109" s="86">
        <v>0</v>
      </c>
      <c r="BJ109" s="86">
        <v>0</v>
      </c>
      <c r="BK109" s="86">
        <v>0</v>
      </c>
      <c r="BL109" s="86">
        <v>0</v>
      </c>
      <c r="BM109" s="86">
        <v>0</v>
      </c>
      <c r="BN109" s="86">
        <v>0</v>
      </c>
      <c r="BO109" s="86">
        <v>0</v>
      </c>
      <c r="BP109" s="86">
        <v>0</v>
      </c>
      <c r="BQ109" s="86">
        <v>0</v>
      </c>
      <c r="BR109" s="86">
        <v>0</v>
      </c>
      <c r="BS109" s="86">
        <v>0</v>
      </c>
      <c r="BT109" s="86">
        <v>0</v>
      </c>
      <c r="BU109" s="86">
        <v>0</v>
      </c>
      <c r="BV109" s="86">
        <v>0</v>
      </c>
      <c r="BW109" s="86">
        <v>0</v>
      </c>
      <c r="BX109" s="86">
        <v>0</v>
      </c>
      <c r="BY109" s="86">
        <v>0</v>
      </c>
      <c r="BZ109" s="86">
        <v>0</v>
      </c>
      <c r="CA109" s="86">
        <v>0</v>
      </c>
      <c r="CB109" s="86">
        <v>0</v>
      </c>
      <c r="CC109" s="86">
        <v>0</v>
      </c>
      <c r="CD109" s="86">
        <v>0</v>
      </c>
      <c r="CE109" s="86">
        <v>0</v>
      </c>
      <c r="CF109" s="86">
        <v>0</v>
      </c>
      <c r="CH109" s="94">
        <f t="shared" ref="CH109:CQ110" si="308">SUMIF($B$1:$CG$1,"&lt;="&amp;VALUE(RIGHT(CH$2,2)&amp;IF(LEFT(CH$2,2)="1S",2,IF(LEFT(CH$2,2)="9M",3,4))),$B109:$CG109)-
SUMIF($B$1:$CG$1,"&lt;"&amp;VALUE(RIGHT(CH$2,2))&amp;"0",$B109:$CG109)</f>
        <v>-39071</v>
      </c>
      <c r="CI109" s="94">
        <f t="shared" si="308"/>
        <v>-38780</v>
      </c>
      <c r="CJ109" s="94">
        <f t="shared" si="308"/>
        <v>-39011</v>
      </c>
      <c r="CK109" s="94">
        <f t="shared" si="308"/>
        <v>0</v>
      </c>
      <c r="CL109" s="94">
        <f t="shared" si="308"/>
        <v>0</v>
      </c>
      <c r="CM109" s="94">
        <f t="shared" si="308"/>
        <v>0</v>
      </c>
      <c r="CN109" s="94">
        <f t="shared" si="308"/>
        <v>0</v>
      </c>
      <c r="CO109" s="94">
        <f t="shared" si="308"/>
        <v>0</v>
      </c>
      <c r="CP109" s="94">
        <f t="shared" si="308"/>
        <v>0</v>
      </c>
      <c r="CQ109" s="94">
        <f t="shared" si="308"/>
        <v>0</v>
      </c>
      <c r="CR109" s="94">
        <f t="shared" ref="CR109:DA110" si="309">SUMIF($B$1:$CG$1,"&lt;="&amp;VALUE(RIGHT(CR$2,2)&amp;IF(LEFT(CR$2,2)="1S",2,IF(LEFT(CR$2,2)="9M",3,4))),$B109:$CG109)-
SUMIF($B$1:$CG$1,"&lt;"&amp;VALUE(RIGHT(CR$2,2))&amp;"0",$B109:$CG109)</f>
        <v>0</v>
      </c>
      <c r="CS109" s="94">
        <f t="shared" si="309"/>
        <v>0</v>
      </c>
      <c r="CT109" s="94">
        <f t="shared" si="309"/>
        <v>0</v>
      </c>
      <c r="CU109" s="94">
        <f t="shared" si="309"/>
        <v>0</v>
      </c>
      <c r="CV109" s="94">
        <f t="shared" si="309"/>
        <v>0</v>
      </c>
      <c r="CW109" s="94">
        <f t="shared" si="309"/>
        <v>0</v>
      </c>
      <c r="CX109" s="94">
        <f t="shared" si="309"/>
        <v>0</v>
      </c>
      <c r="CY109" s="94">
        <f t="shared" si="309"/>
        <v>0</v>
      </c>
      <c r="CZ109" s="94">
        <f t="shared" si="309"/>
        <v>0</v>
      </c>
      <c r="DA109" s="94">
        <f t="shared" si="309"/>
        <v>0</v>
      </c>
      <c r="DB109" s="94">
        <f t="shared" ref="DB109:DK110" si="310">SUMIF($B$1:$CG$1,"&lt;="&amp;VALUE(RIGHT(DB$2,2)&amp;IF(LEFT(DB$2,2)="1S",2,IF(LEFT(DB$2,2)="9M",3,4))),$B109:$CG109)-
SUMIF($B$1:$CG$1,"&lt;"&amp;VALUE(RIGHT(DB$2,2))&amp;"0",$B109:$CG109)</f>
        <v>0</v>
      </c>
      <c r="DC109" s="94">
        <f t="shared" si="310"/>
        <v>0</v>
      </c>
      <c r="DD109" s="94">
        <f t="shared" si="310"/>
        <v>0</v>
      </c>
      <c r="DE109" s="94">
        <f t="shared" si="310"/>
        <v>0</v>
      </c>
      <c r="DF109" s="94">
        <f t="shared" si="310"/>
        <v>0</v>
      </c>
      <c r="DG109" s="94">
        <f t="shared" si="310"/>
        <v>0</v>
      </c>
      <c r="DH109" s="94">
        <f t="shared" si="310"/>
        <v>0</v>
      </c>
      <c r="DI109" s="94">
        <f t="shared" si="310"/>
        <v>0</v>
      </c>
      <c r="DJ109" s="94">
        <f t="shared" si="310"/>
        <v>0</v>
      </c>
      <c r="DK109" s="94">
        <f t="shared" si="310"/>
        <v>0</v>
      </c>
      <c r="DL109" s="94">
        <f t="shared" ref="DL109:DU110" si="311">SUMIF($B$1:$CG$1,"&lt;="&amp;VALUE(RIGHT(DL$2,2)&amp;IF(LEFT(DL$2,2)="1S",2,IF(LEFT(DL$2,2)="9M",3,4))),$B109:$CG109)-
SUMIF($B$1:$CG$1,"&lt;"&amp;VALUE(RIGHT(DL$2,2))&amp;"0",$B109:$CG109)</f>
        <v>0</v>
      </c>
      <c r="DM109" s="94">
        <f t="shared" si="311"/>
        <v>0</v>
      </c>
      <c r="DN109" s="94">
        <f t="shared" si="311"/>
        <v>0</v>
      </c>
      <c r="DO109" s="94">
        <f t="shared" si="311"/>
        <v>0</v>
      </c>
      <c r="DP109" s="94">
        <f t="shared" si="311"/>
        <v>0</v>
      </c>
      <c r="DQ109" s="94">
        <f t="shared" si="311"/>
        <v>0</v>
      </c>
      <c r="DR109" s="94">
        <f t="shared" si="311"/>
        <v>0</v>
      </c>
      <c r="DS109" s="94">
        <f t="shared" si="311"/>
        <v>0</v>
      </c>
      <c r="DT109" s="94">
        <f t="shared" si="311"/>
        <v>0</v>
      </c>
      <c r="DU109" s="94">
        <f t="shared" si="311"/>
        <v>0</v>
      </c>
      <c r="DV109" s="94">
        <f t="shared" ref="DV109:EE110" si="312">SUMIF($B$1:$CG$1,"&lt;="&amp;VALUE(RIGHT(DV$2,2)&amp;IF(LEFT(DV$2,2)="1S",2,IF(LEFT(DV$2,2)="9M",3,4))),$B109:$CG109)-
SUMIF($B$1:$CG$1,"&lt;"&amp;VALUE(RIGHT(DV$2,2))&amp;"0",$B109:$CG109)</f>
        <v>0</v>
      </c>
      <c r="DW109" s="94">
        <f t="shared" si="312"/>
        <v>0</v>
      </c>
      <c r="DX109" s="94">
        <f t="shared" si="312"/>
        <v>0</v>
      </c>
      <c r="DY109" s="94">
        <f t="shared" si="312"/>
        <v>0</v>
      </c>
      <c r="DZ109" s="94">
        <f t="shared" si="312"/>
        <v>0</v>
      </c>
      <c r="EA109" s="94">
        <f t="shared" si="312"/>
        <v>0</v>
      </c>
      <c r="EB109" s="94">
        <f t="shared" si="312"/>
        <v>0</v>
      </c>
      <c r="EC109" s="94">
        <f t="shared" si="312"/>
        <v>0</v>
      </c>
      <c r="ED109" s="94">
        <f t="shared" si="312"/>
        <v>0</v>
      </c>
      <c r="EE109" s="94">
        <f t="shared" si="312"/>
        <v>0</v>
      </c>
      <c r="EF109" s="94">
        <f t="shared" ref="EF109:EL110" si="313">SUMIF($B$1:$CG$1,"&lt;="&amp;VALUE(RIGHT(EF$2,2)&amp;IF(LEFT(EF$2,2)="1S",2,IF(LEFT(EF$2,2)="9M",3,4))),$B109:$CG109)-
SUMIF($B$1:$CG$1,"&lt;"&amp;VALUE(RIGHT(EF$2,2))&amp;"0",$B109:$CG109)</f>
        <v>0</v>
      </c>
      <c r="EG109" s="94">
        <f t="shared" si="313"/>
        <v>0</v>
      </c>
      <c r="EH109" s="94">
        <f t="shared" si="313"/>
        <v>0</v>
      </c>
      <c r="EI109" s="94">
        <f t="shared" si="313"/>
        <v>0</v>
      </c>
      <c r="EJ109" s="94">
        <f t="shared" si="313"/>
        <v>0</v>
      </c>
      <c r="EK109" s="94">
        <f t="shared" si="313"/>
        <v>0</v>
      </c>
      <c r="EL109" s="94">
        <f t="shared" si="313"/>
        <v>0</v>
      </c>
    </row>
    <row r="110" spans="2:142" ht="14.4" thickBot="1" x14ac:dyDescent="0.35">
      <c r="B110" s="27" t="s">
        <v>44</v>
      </c>
      <c r="C110" s="118" t="s">
        <v>445</v>
      </c>
      <c r="D110" s="181" t="str">
        <f>IF(Menu!$D$12="PT",'Dados Financeiros'!B110,'Dados Financeiros'!C110)</f>
        <v>Lucro antes de IR e CS</v>
      </c>
      <c r="E110" s="20">
        <f t="shared" ref="E110:AV110" si="314">E107+E109</f>
        <v>-20921</v>
      </c>
      <c r="F110" s="20">
        <f t="shared" si="314"/>
        <v>22144</v>
      </c>
      <c r="G110" s="20">
        <f t="shared" si="314"/>
        <v>26208</v>
      </c>
      <c r="H110" s="20">
        <f t="shared" si="314"/>
        <v>1880</v>
      </c>
      <c r="I110" s="20">
        <f t="shared" si="314"/>
        <v>37246</v>
      </c>
      <c r="J110" s="20">
        <f t="shared" si="314"/>
        <v>28207</v>
      </c>
      <c r="K110" s="20">
        <f t="shared" si="314"/>
        <v>19606</v>
      </c>
      <c r="L110" s="20">
        <f t="shared" si="314"/>
        <v>17107</v>
      </c>
      <c r="M110" s="20">
        <f t="shared" si="314"/>
        <v>29391</v>
      </c>
      <c r="N110" s="20">
        <f t="shared" si="314"/>
        <v>41209</v>
      </c>
      <c r="O110" s="20">
        <f t="shared" si="314"/>
        <v>47238</v>
      </c>
      <c r="P110" s="20">
        <f t="shared" si="314"/>
        <v>36960</v>
      </c>
      <c r="Q110" s="20">
        <f t="shared" si="314"/>
        <v>51175</v>
      </c>
      <c r="R110" s="20">
        <f t="shared" si="314"/>
        <v>56129</v>
      </c>
      <c r="S110" s="20">
        <f t="shared" si="314"/>
        <v>71913</v>
      </c>
      <c r="T110" s="20">
        <f t="shared" si="314"/>
        <v>91634</v>
      </c>
      <c r="U110" s="20">
        <f t="shared" si="314"/>
        <v>83355</v>
      </c>
      <c r="V110" s="20">
        <f t="shared" si="314"/>
        <v>87086</v>
      </c>
      <c r="W110" s="20">
        <f t="shared" si="314"/>
        <v>64989</v>
      </c>
      <c r="X110" s="20">
        <f t="shared" si="314"/>
        <v>-22942</v>
      </c>
      <c r="Y110" s="20">
        <f t="shared" si="314"/>
        <v>2774</v>
      </c>
      <c r="Z110" s="20">
        <f t="shared" si="314"/>
        <v>1442</v>
      </c>
      <c r="AA110" s="20">
        <f t="shared" si="314"/>
        <v>15665</v>
      </c>
      <c r="AB110" s="20">
        <f t="shared" si="314"/>
        <v>13832</v>
      </c>
      <c r="AC110" s="20">
        <f t="shared" si="314"/>
        <v>-47344</v>
      </c>
      <c r="AD110" s="20">
        <f t="shared" si="314"/>
        <v>-49359</v>
      </c>
      <c r="AE110" s="20">
        <f t="shared" si="314"/>
        <v>-113973</v>
      </c>
      <c r="AF110" s="20">
        <f t="shared" si="314"/>
        <v>-112525</v>
      </c>
      <c r="AG110" s="20">
        <f t="shared" si="314"/>
        <v>75932</v>
      </c>
      <c r="AH110" s="20">
        <f t="shared" si="314"/>
        <v>100546</v>
      </c>
      <c r="AI110" s="20">
        <f t="shared" si="314"/>
        <v>84058</v>
      </c>
      <c r="AJ110" s="20">
        <f t="shared" si="314"/>
        <v>62930</v>
      </c>
      <c r="AK110" s="20">
        <f t="shared" si="314"/>
        <v>52666</v>
      </c>
      <c r="AL110" s="20">
        <f t="shared" si="314"/>
        <v>107313</v>
      </c>
      <c r="AM110" s="20">
        <f t="shared" si="314"/>
        <v>55837</v>
      </c>
      <c r="AN110" s="20">
        <f t="shared" si="314"/>
        <v>28496</v>
      </c>
      <c r="AO110" s="20">
        <f t="shared" si="314"/>
        <v>57035</v>
      </c>
      <c r="AP110" s="20">
        <f t="shared" si="314"/>
        <v>61839</v>
      </c>
      <c r="AQ110" s="20">
        <f t="shared" si="314"/>
        <v>34428</v>
      </c>
      <c r="AR110" s="20">
        <f t="shared" si="314"/>
        <v>168846</v>
      </c>
      <c r="AS110" s="20">
        <f t="shared" si="314"/>
        <v>6873</v>
      </c>
      <c r="AT110" s="20">
        <f t="shared" si="314"/>
        <v>-92617</v>
      </c>
      <c r="AU110" s="20">
        <f t="shared" si="314"/>
        <v>-111397</v>
      </c>
      <c r="AV110" s="20">
        <f t="shared" si="314"/>
        <v>-253261</v>
      </c>
      <c r="AW110" s="20">
        <f t="shared" ref="AW110:AX110" si="315">AW107+AW109</f>
        <v>-62077</v>
      </c>
      <c r="AX110" s="20">
        <f t="shared" si="315"/>
        <v>-141854</v>
      </c>
      <c r="AY110" s="20">
        <f t="shared" ref="AY110:BC110" si="316">AY107+AY109</f>
        <v>-144031</v>
      </c>
      <c r="AZ110" s="20">
        <f t="shared" ref="AZ110:BB110" si="317">AZ107+AZ109</f>
        <v>-178120</v>
      </c>
      <c r="BA110" s="20">
        <f t="shared" si="317"/>
        <v>-51797</v>
      </c>
      <c r="BB110" s="20">
        <f t="shared" si="317"/>
        <v>-85378</v>
      </c>
      <c r="BC110" s="20">
        <f t="shared" si="316"/>
        <v>-75671</v>
      </c>
      <c r="BD110" s="20">
        <f t="shared" ref="BD110:BE110" si="318">BD107+BD109</f>
        <v>-65204</v>
      </c>
      <c r="BE110" s="20">
        <f t="shared" si="318"/>
        <v>-302</v>
      </c>
      <c r="BF110" s="20">
        <f t="shared" ref="BF110:BG110" si="319">BF107+BF109</f>
        <v>-143848</v>
      </c>
      <c r="BG110" s="20">
        <f t="shared" si="319"/>
        <v>-53381</v>
      </c>
      <c r="BH110" s="20">
        <f t="shared" ref="BH110:BM110" si="320">BH107+BH109</f>
        <v>-59180</v>
      </c>
      <c r="BI110" s="20">
        <f t="shared" si="320"/>
        <v>-58103</v>
      </c>
      <c r="BJ110" s="20">
        <f t="shared" si="320"/>
        <v>-39415</v>
      </c>
      <c r="BK110" s="20">
        <f t="shared" si="320"/>
        <v>-34288</v>
      </c>
      <c r="BL110" s="20">
        <f t="shared" si="320"/>
        <v>-29301</v>
      </c>
      <c r="BM110" s="20">
        <f t="shared" si="320"/>
        <v>-25509</v>
      </c>
      <c r="BN110" s="20">
        <f>BN107+BN109</f>
        <v>-53175</v>
      </c>
      <c r="BO110" s="20">
        <v>-44109.5</v>
      </c>
      <c r="BP110" s="20">
        <f>BP107+BP109</f>
        <v>-58356.49</v>
      </c>
      <c r="BQ110" s="20">
        <v>-5656</v>
      </c>
      <c r="BR110" s="20">
        <f>BR107+BR109</f>
        <v>-8451</v>
      </c>
      <c r="BS110" s="20">
        <v>4954</v>
      </c>
      <c r="BT110" s="20">
        <v>18828</v>
      </c>
      <c r="BU110" s="20">
        <v>7663</v>
      </c>
      <c r="BV110" s="20">
        <v>7731</v>
      </c>
      <c r="BW110" s="20">
        <v>-5423</v>
      </c>
      <c r="BX110" s="20">
        <v>-53376</v>
      </c>
      <c r="BY110" s="20">
        <v>-18521</v>
      </c>
      <c r="BZ110" s="20">
        <v>-28975</v>
      </c>
      <c r="CA110" s="20">
        <v>-39939</v>
      </c>
      <c r="CB110" s="20">
        <f>+CB109+CB107</f>
        <v>-50997.999999999985</v>
      </c>
      <c r="CC110" s="20">
        <f>+CC109+CC107</f>
        <v>-6309</v>
      </c>
      <c r="CD110" s="20">
        <f>+CD109+CD107</f>
        <v>-58154</v>
      </c>
      <c r="CE110" s="20">
        <f>+CE109+CE107</f>
        <v>-5881</v>
      </c>
      <c r="CF110" s="20">
        <f>+CF109+CF107</f>
        <v>-23608</v>
      </c>
      <c r="CH110" s="20">
        <f t="shared" si="308"/>
        <v>1223</v>
      </c>
      <c r="CI110" s="20">
        <f t="shared" si="308"/>
        <v>27431</v>
      </c>
      <c r="CJ110" s="20">
        <f t="shared" si="308"/>
        <v>29311</v>
      </c>
      <c r="CK110" s="20">
        <f t="shared" si="308"/>
        <v>65453</v>
      </c>
      <c r="CL110" s="20">
        <f t="shared" si="308"/>
        <v>85059</v>
      </c>
      <c r="CM110" s="20">
        <f t="shared" si="308"/>
        <v>102166</v>
      </c>
      <c r="CN110" s="20">
        <f t="shared" si="308"/>
        <v>70600</v>
      </c>
      <c r="CO110" s="20">
        <f t="shared" si="308"/>
        <v>117838</v>
      </c>
      <c r="CP110" s="20">
        <f t="shared" si="308"/>
        <v>154798</v>
      </c>
      <c r="CQ110" s="20">
        <f t="shared" si="308"/>
        <v>107304</v>
      </c>
      <c r="CR110" s="20">
        <f t="shared" si="309"/>
        <v>179217</v>
      </c>
      <c r="CS110" s="20">
        <f t="shared" si="309"/>
        <v>270851</v>
      </c>
      <c r="CT110" s="20">
        <f t="shared" si="309"/>
        <v>170441</v>
      </c>
      <c r="CU110" s="20">
        <f t="shared" si="309"/>
        <v>235430</v>
      </c>
      <c r="CV110" s="20">
        <f t="shared" si="309"/>
        <v>212488</v>
      </c>
      <c r="CW110" s="20">
        <f t="shared" si="309"/>
        <v>15274</v>
      </c>
      <c r="CX110" s="20">
        <f t="shared" si="309"/>
        <v>-34085</v>
      </c>
      <c r="CY110" s="20">
        <f t="shared" si="309"/>
        <v>-146610</v>
      </c>
      <c r="CZ110" s="20">
        <f t="shared" si="309"/>
        <v>176478</v>
      </c>
      <c r="DA110" s="20">
        <f t="shared" si="309"/>
        <v>260536</v>
      </c>
      <c r="DB110" s="20">
        <f t="shared" si="310"/>
        <v>323466</v>
      </c>
      <c r="DC110" s="20">
        <f t="shared" si="310"/>
        <v>159979</v>
      </c>
      <c r="DD110" s="20">
        <f t="shared" si="310"/>
        <v>215816</v>
      </c>
      <c r="DE110" s="20">
        <f t="shared" si="310"/>
        <v>244312</v>
      </c>
      <c r="DF110" s="20">
        <f t="shared" si="310"/>
        <v>118874</v>
      </c>
      <c r="DG110" s="20">
        <f t="shared" si="310"/>
        <v>153302</v>
      </c>
      <c r="DH110" s="20">
        <f t="shared" si="310"/>
        <v>322148</v>
      </c>
      <c r="DI110" s="20">
        <f t="shared" si="310"/>
        <v>-85744</v>
      </c>
      <c r="DJ110" s="20">
        <f t="shared" si="310"/>
        <v>-197141</v>
      </c>
      <c r="DK110" s="20">
        <f t="shared" si="310"/>
        <v>-450402</v>
      </c>
      <c r="DL110" s="20">
        <f t="shared" si="311"/>
        <v>-203931</v>
      </c>
      <c r="DM110" s="20">
        <f t="shared" si="311"/>
        <v>-347962</v>
      </c>
      <c r="DN110" s="20">
        <f t="shared" si="311"/>
        <v>-526082</v>
      </c>
      <c r="DO110" s="20">
        <f t="shared" si="311"/>
        <v>-137175</v>
      </c>
      <c r="DP110" s="20">
        <f t="shared" si="311"/>
        <v>-212846</v>
      </c>
      <c r="DQ110" s="20">
        <f t="shared" si="311"/>
        <v>-278050</v>
      </c>
      <c r="DR110" s="20">
        <f t="shared" si="311"/>
        <v>-144150</v>
      </c>
      <c r="DS110" s="20">
        <f t="shared" si="311"/>
        <v>-197531</v>
      </c>
      <c r="DT110" s="20">
        <f t="shared" si="311"/>
        <v>-256711</v>
      </c>
      <c r="DU110" s="20">
        <f t="shared" si="311"/>
        <v>-97518</v>
      </c>
      <c r="DV110" s="20">
        <f t="shared" si="312"/>
        <v>-131806</v>
      </c>
      <c r="DW110" s="20">
        <f t="shared" si="312"/>
        <v>-161107</v>
      </c>
      <c r="DX110" s="20">
        <f t="shared" si="312"/>
        <v>-78684</v>
      </c>
      <c r="DY110" s="20">
        <f t="shared" si="312"/>
        <v>-122793.5</v>
      </c>
      <c r="DZ110" s="20">
        <f t="shared" si="312"/>
        <v>-181149.99</v>
      </c>
      <c r="EA110" s="20">
        <f t="shared" si="312"/>
        <v>-14107</v>
      </c>
      <c r="EB110" s="20">
        <f t="shared" si="312"/>
        <v>-9153</v>
      </c>
      <c r="EC110" s="20">
        <f t="shared" si="312"/>
        <v>9675</v>
      </c>
      <c r="ED110" s="20">
        <f t="shared" si="312"/>
        <v>15394</v>
      </c>
      <c r="EE110" s="20">
        <f t="shared" si="312"/>
        <v>9971</v>
      </c>
      <c r="EF110" s="20">
        <f t="shared" si="313"/>
        <v>-43405</v>
      </c>
      <c r="EG110" s="20">
        <f t="shared" si="313"/>
        <v>-47496</v>
      </c>
      <c r="EH110" s="20">
        <f t="shared" si="313"/>
        <v>-87435</v>
      </c>
      <c r="EI110" s="20">
        <f t="shared" si="313"/>
        <v>-138433</v>
      </c>
      <c r="EJ110" s="20">
        <f t="shared" si="313"/>
        <v>-64463</v>
      </c>
      <c r="EK110" s="20">
        <f t="shared" si="313"/>
        <v>-70344</v>
      </c>
      <c r="EL110" s="20">
        <f t="shared" si="313"/>
        <v>-93952</v>
      </c>
    </row>
    <row r="111" spans="2:142" x14ac:dyDescent="0.3">
      <c r="B111" s="12"/>
      <c r="C111" s="119"/>
      <c r="D111" s="185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</row>
    <row r="112" spans="2:142" ht="14.4" thickBot="1" x14ac:dyDescent="0.35">
      <c r="B112" s="120" t="s">
        <v>43</v>
      </c>
      <c r="C112" s="120" t="s">
        <v>446</v>
      </c>
      <c r="D112" s="191" t="str">
        <f>IF(Menu!$D$12="PT",'Dados Financeiros'!B112,'Dados Financeiros'!C112)</f>
        <v>Imposto de renda e contribuição social</v>
      </c>
      <c r="E112" s="43">
        <f t="shared" ref="E112:AV112" si="321">E113+E114</f>
        <v>-676</v>
      </c>
      <c r="F112" s="43">
        <f t="shared" si="321"/>
        <v>-2239</v>
      </c>
      <c r="G112" s="43">
        <f t="shared" si="321"/>
        <v>-3050</v>
      </c>
      <c r="H112" s="43">
        <f t="shared" si="321"/>
        <v>-3441</v>
      </c>
      <c r="I112" s="43">
        <f t="shared" si="321"/>
        <v>-6296</v>
      </c>
      <c r="J112" s="43">
        <f t="shared" si="321"/>
        <v>-4944</v>
      </c>
      <c r="K112" s="43">
        <f t="shared" si="321"/>
        <v>-2206</v>
      </c>
      <c r="L112" s="43">
        <f t="shared" si="321"/>
        <v>-5029</v>
      </c>
      <c r="M112" s="43">
        <f t="shared" si="321"/>
        <v>-4396</v>
      </c>
      <c r="N112" s="43">
        <f t="shared" si="321"/>
        <v>-5481</v>
      </c>
      <c r="O112" s="43">
        <f t="shared" si="321"/>
        <v>-7055</v>
      </c>
      <c r="P112" s="43">
        <f t="shared" si="321"/>
        <v>-5387</v>
      </c>
      <c r="Q112" s="43">
        <f t="shared" si="321"/>
        <v>-3824</v>
      </c>
      <c r="R112" s="43">
        <f t="shared" si="321"/>
        <v>-8314</v>
      </c>
      <c r="S112" s="43">
        <f t="shared" si="321"/>
        <v>-12867</v>
      </c>
      <c r="T112" s="43">
        <f t="shared" si="321"/>
        <v>-17717</v>
      </c>
      <c r="U112" s="43">
        <f t="shared" si="321"/>
        <v>-13377</v>
      </c>
      <c r="V112" s="43">
        <f t="shared" si="321"/>
        <v>-13788</v>
      </c>
      <c r="W112" s="43">
        <f t="shared" si="321"/>
        <v>-12236</v>
      </c>
      <c r="X112" s="43">
        <f t="shared" si="321"/>
        <v>-8921</v>
      </c>
      <c r="Y112" s="43">
        <f t="shared" si="321"/>
        <v>-9474</v>
      </c>
      <c r="Z112" s="43">
        <f t="shared" si="321"/>
        <v>-7778</v>
      </c>
      <c r="AA112" s="43">
        <f t="shared" si="321"/>
        <v>-11854</v>
      </c>
      <c r="AB112" s="43">
        <f t="shared" si="321"/>
        <v>-9324</v>
      </c>
      <c r="AC112" s="43">
        <f t="shared" si="321"/>
        <v>-10128</v>
      </c>
      <c r="AD112" s="43">
        <f t="shared" si="321"/>
        <v>-7727</v>
      </c>
      <c r="AE112" s="43">
        <f t="shared" si="321"/>
        <v>6104</v>
      </c>
      <c r="AF112" s="43">
        <f t="shared" si="321"/>
        <v>5004</v>
      </c>
      <c r="AG112" s="43">
        <f t="shared" si="321"/>
        <v>-9376</v>
      </c>
      <c r="AH112" s="43">
        <f t="shared" si="321"/>
        <v>-8590</v>
      </c>
      <c r="AI112" s="43">
        <f t="shared" si="321"/>
        <v>-10218</v>
      </c>
      <c r="AJ112" s="43">
        <f t="shared" si="321"/>
        <v>-9833</v>
      </c>
      <c r="AK112" s="43">
        <f t="shared" si="321"/>
        <v>-8544</v>
      </c>
      <c r="AL112" s="43">
        <f t="shared" si="321"/>
        <v>-8663</v>
      </c>
      <c r="AM112" s="43">
        <f t="shared" si="321"/>
        <v>-8511</v>
      </c>
      <c r="AN112" s="43">
        <f t="shared" si="321"/>
        <v>-6804</v>
      </c>
      <c r="AO112" s="43">
        <f t="shared" si="321"/>
        <v>-8398</v>
      </c>
      <c r="AP112" s="43">
        <f t="shared" si="321"/>
        <v>-8340</v>
      </c>
      <c r="AQ112" s="43">
        <f t="shared" si="321"/>
        <v>-7522</v>
      </c>
      <c r="AR112" s="43">
        <f t="shared" si="321"/>
        <v>-4983</v>
      </c>
      <c r="AS112" s="43">
        <f t="shared" si="321"/>
        <v>-3326</v>
      </c>
      <c r="AT112" s="43">
        <f t="shared" si="321"/>
        <v>-1971</v>
      </c>
      <c r="AU112" s="43">
        <f t="shared" si="321"/>
        <v>-68</v>
      </c>
      <c r="AV112" s="43">
        <f t="shared" si="321"/>
        <v>-676</v>
      </c>
      <c r="AW112" s="43">
        <f t="shared" ref="AW112:AX112" si="322">AW113+AW114</f>
        <v>-2314</v>
      </c>
      <c r="AX112" s="43">
        <f t="shared" si="322"/>
        <v>-2033</v>
      </c>
      <c r="AY112" s="43">
        <f t="shared" ref="AY112:BC112" si="323">AY113+AY114</f>
        <v>-557</v>
      </c>
      <c r="AZ112" s="43">
        <f t="shared" ref="AZ112:BB112" si="324">AZ113+AZ114</f>
        <v>-608</v>
      </c>
      <c r="BA112" s="43">
        <f t="shared" si="324"/>
        <v>-3524</v>
      </c>
      <c r="BB112" s="43">
        <f t="shared" si="324"/>
        <v>-1282</v>
      </c>
      <c r="BC112" s="43">
        <f t="shared" si="323"/>
        <v>556</v>
      </c>
      <c r="BD112" s="43">
        <f t="shared" ref="BD112:BE112" si="325">BD113+BD114</f>
        <v>-988</v>
      </c>
      <c r="BE112" s="43">
        <f t="shared" si="325"/>
        <v>-1322</v>
      </c>
      <c r="BF112" s="43">
        <f t="shared" ref="BF112:BG112" si="326">BF113+BF114</f>
        <v>-904</v>
      </c>
      <c r="BG112" s="43">
        <f t="shared" si="326"/>
        <v>-1333</v>
      </c>
      <c r="BH112" s="43">
        <f t="shared" ref="BH112:BM112" si="327">BH113+BH114</f>
        <v>-2104</v>
      </c>
      <c r="BI112" s="43">
        <f t="shared" si="327"/>
        <v>-845</v>
      </c>
      <c r="BJ112" s="43">
        <f t="shared" si="327"/>
        <v>-1410</v>
      </c>
      <c r="BK112" s="43">
        <f t="shared" si="327"/>
        <v>-1347</v>
      </c>
      <c r="BL112" s="43">
        <f t="shared" si="327"/>
        <v>-2166</v>
      </c>
      <c r="BM112" s="43">
        <f t="shared" si="327"/>
        <v>-1102</v>
      </c>
      <c r="BN112" s="43">
        <f>BN113+BN114</f>
        <v>-894</v>
      </c>
      <c r="BO112" s="43">
        <v>-1392</v>
      </c>
      <c r="BP112" s="43">
        <f>BP113+BP114</f>
        <v>-1103</v>
      </c>
      <c r="BQ112" s="43">
        <v>-1317</v>
      </c>
      <c r="BR112" s="43">
        <v>-1078</v>
      </c>
      <c r="BS112" s="43">
        <v>-3044</v>
      </c>
      <c r="BT112" s="43">
        <v>-1936</v>
      </c>
      <c r="BU112" s="43">
        <v>-2995</v>
      </c>
      <c r="BV112" s="43">
        <v>-2942</v>
      </c>
      <c r="BW112" s="43">
        <v>-2678</v>
      </c>
      <c r="BX112" s="43">
        <v>-3247</v>
      </c>
      <c r="BY112" s="43">
        <v>-2257</v>
      </c>
      <c r="BZ112" s="43">
        <v>-4498</v>
      </c>
      <c r="CA112" s="43">
        <v>-2938</v>
      </c>
      <c r="CB112" s="43">
        <f>SUM(CB113:CB114)</f>
        <v>-2927</v>
      </c>
      <c r="CC112" s="43">
        <f>SUM(CC113:CC114)</f>
        <v>-1766</v>
      </c>
      <c r="CD112" s="43">
        <f>SUM(CD113:CD114)</f>
        <v>-1250</v>
      </c>
      <c r="CE112" s="43">
        <f>SUM(CE113:CE114)</f>
        <v>-2332</v>
      </c>
      <c r="CF112" s="43">
        <f>SUM(CF113:CF114)</f>
        <v>-831</v>
      </c>
      <c r="CH112" s="43">
        <f t="shared" ref="CH112:CQ115" si="328">SUMIF($B$1:$CG$1,"&lt;="&amp;VALUE(RIGHT(CH$2,2)&amp;IF(LEFT(CH$2,2)="1S",2,IF(LEFT(CH$2,2)="9M",3,4))),$B112:$CG112)-
SUMIF($B$1:$CG$1,"&lt;"&amp;VALUE(RIGHT(CH$2,2))&amp;"0",$B112:$CG112)</f>
        <v>-2915</v>
      </c>
      <c r="CI112" s="43">
        <f t="shared" si="328"/>
        <v>-5965</v>
      </c>
      <c r="CJ112" s="43">
        <f t="shared" si="328"/>
        <v>-9406</v>
      </c>
      <c r="CK112" s="43">
        <f t="shared" si="328"/>
        <v>-11240</v>
      </c>
      <c r="CL112" s="43">
        <f t="shared" si="328"/>
        <v>-13446</v>
      </c>
      <c r="CM112" s="43">
        <f t="shared" si="328"/>
        <v>-18475</v>
      </c>
      <c r="CN112" s="43">
        <f t="shared" si="328"/>
        <v>-9877</v>
      </c>
      <c r="CO112" s="43">
        <f t="shared" si="328"/>
        <v>-16932</v>
      </c>
      <c r="CP112" s="43">
        <f t="shared" si="328"/>
        <v>-22319</v>
      </c>
      <c r="CQ112" s="43">
        <f t="shared" si="328"/>
        <v>-12138</v>
      </c>
      <c r="CR112" s="43">
        <f t="shared" ref="CR112:DA115" si="329">SUMIF($B$1:$CG$1,"&lt;="&amp;VALUE(RIGHT(CR$2,2)&amp;IF(LEFT(CR$2,2)="1S",2,IF(LEFT(CR$2,2)="9M",3,4))),$B112:$CG112)-
SUMIF($B$1:$CG$1,"&lt;"&amp;VALUE(RIGHT(CR$2,2))&amp;"0",$B112:$CG112)</f>
        <v>-25005</v>
      </c>
      <c r="CS112" s="43">
        <f t="shared" si="329"/>
        <v>-42722</v>
      </c>
      <c r="CT112" s="43">
        <f t="shared" si="329"/>
        <v>-27165</v>
      </c>
      <c r="CU112" s="43">
        <f t="shared" si="329"/>
        <v>-39401</v>
      </c>
      <c r="CV112" s="43">
        <f t="shared" si="329"/>
        <v>-48322</v>
      </c>
      <c r="CW112" s="43">
        <f t="shared" si="329"/>
        <v>-17102</v>
      </c>
      <c r="CX112" s="43">
        <f t="shared" si="329"/>
        <v>-24829</v>
      </c>
      <c r="CY112" s="43">
        <f t="shared" si="329"/>
        <v>-19825</v>
      </c>
      <c r="CZ112" s="43">
        <f t="shared" si="329"/>
        <v>-17966</v>
      </c>
      <c r="DA112" s="43">
        <f t="shared" si="329"/>
        <v>-28184</v>
      </c>
      <c r="DB112" s="43">
        <f t="shared" ref="DB112:DK115" si="330">SUMIF($B$1:$CG$1,"&lt;="&amp;VALUE(RIGHT(DB$2,2)&amp;IF(LEFT(DB$2,2)="1S",2,IF(LEFT(DB$2,2)="9M",3,4))),$B112:$CG112)-
SUMIF($B$1:$CG$1,"&lt;"&amp;VALUE(RIGHT(DB$2,2))&amp;"0",$B112:$CG112)</f>
        <v>-38017</v>
      </c>
      <c r="DC112" s="43">
        <f t="shared" si="330"/>
        <v>-17207</v>
      </c>
      <c r="DD112" s="43">
        <f t="shared" si="330"/>
        <v>-25718</v>
      </c>
      <c r="DE112" s="43">
        <f t="shared" si="330"/>
        <v>-32522</v>
      </c>
      <c r="DF112" s="43">
        <f t="shared" si="330"/>
        <v>-16738</v>
      </c>
      <c r="DG112" s="43">
        <f t="shared" si="330"/>
        <v>-24260</v>
      </c>
      <c r="DH112" s="43">
        <f t="shared" si="330"/>
        <v>-29243</v>
      </c>
      <c r="DI112" s="43">
        <f t="shared" si="330"/>
        <v>-5297</v>
      </c>
      <c r="DJ112" s="43">
        <f t="shared" si="330"/>
        <v>-5365</v>
      </c>
      <c r="DK112" s="43">
        <f t="shared" si="330"/>
        <v>-6041</v>
      </c>
      <c r="DL112" s="43">
        <f t="shared" ref="DL112:DU115" si="331">SUMIF($B$1:$CG$1,"&lt;="&amp;VALUE(RIGHT(DL$2,2)&amp;IF(LEFT(DL$2,2)="1S",2,IF(LEFT(DL$2,2)="9M",3,4))),$B112:$CG112)-
SUMIF($B$1:$CG$1,"&lt;"&amp;VALUE(RIGHT(DL$2,2))&amp;"0",$B112:$CG112)</f>
        <v>-4347</v>
      </c>
      <c r="DM112" s="43">
        <f t="shared" si="331"/>
        <v>-4904</v>
      </c>
      <c r="DN112" s="43">
        <f t="shared" si="331"/>
        <v>-5512</v>
      </c>
      <c r="DO112" s="43">
        <f t="shared" si="331"/>
        <v>-4806</v>
      </c>
      <c r="DP112" s="43">
        <f t="shared" si="331"/>
        <v>-4250</v>
      </c>
      <c r="DQ112" s="43">
        <f t="shared" si="331"/>
        <v>-5238</v>
      </c>
      <c r="DR112" s="43">
        <f t="shared" si="331"/>
        <v>-2226</v>
      </c>
      <c r="DS112" s="43">
        <f t="shared" si="331"/>
        <v>-3559</v>
      </c>
      <c r="DT112" s="43">
        <f t="shared" si="331"/>
        <v>-5663</v>
      </c>
      <c r="DU112" s="43">
        <f t="shared" si="331"/>
        <v>-2255</v>
      </c>
      <c r="DV112" s="43">
        <f t="shared" ref="DV112:EE115" si="332">SUMIF($B$1:$CG$1,"&lt;="&amp;VALUE(RIGHT(DV$2,2)&amp;IF(LEFT(DV$2,2)="1S",2,IF(LEFT(DV$2,2)="9M",3,4))),$B112:$CG112)-
SUMIF($B$1:$CG$1,"&lt;"&amp;VALUE(RIGHT(DV$2,2))&amp;"0",$B112:$CG112)</f>
        <v>-3602</v>
      </c>
      <c r="DW112" s="43">
        <f t="shared" si="332"/>
        <v>-5768</v>
      </c>
      <c r="DX112" s="43">
        <f t="shared" si="332"/>
        <v>-1996</v>
      </c>
      <c r="DY112" s="43">
        <f t="shared" si="332"/>
        <v>-3388</v>
      </c>
      <c r="DZ112" s="43">
        <f t="shared" si="332"/>
        <v>-4491</v>
      </c>
      <c r="EA112" s="43">
        <f t="shared" si="332"/>
        <v>-2395</v>
      </c>
      <c r="EB112" s="43">
        <f t="shared" si="332"/>
        <v>-5439</v>
      </c>
      <c r="EC112" s="43">
        <f t="shared" si="332"/>
        <v>-7375</v>
      </c>
      <c r="ED112" s="43">
        <f t="shared" si="332"/>
        <v>-5937</v>
      </c>
      <c r="EE112" s="43">
        <f t="shared" si="332"/>
        <v>-8615</v>
      </c>
      <c r="EF112" s="43">
        <f t="shared" ref="EF112:EL115" si="333">SUMIF($B$1:$CG$1,"&lt;="&amp;VALUE(RIGHT(EF$2,2)&amp;IF(LEFT(EF$2,2)="1S",2,IF(LEFT(EF$2,2)="9M",3,4))),$B112:$CG112)-
SUMIF($B$1:$CG$1,"&lt;"&amp;VALUE(RIGHT(EF$2,2))&amp;"0",$B112:$CG112)</f>
        <v>-11862</v>
      </c>
      <c r="EG112" s="43">
        <f t="shared" si="333"/>
        <v>-6755</v>
      </c>
      <c r="EH112" s="43">
        <f t="shared" si="333"/>
        <v>-9693</v>
      </c>
      <c r="EI112" s="43">
        <f t="shared" si="333"/>
        <v>-12620</v>
      </c>
      <c r="EJ112" s="43">
        <f t="shared" si="333"/>
        <v>-3016</v>
      </c>
      <c r="EK112" s="43">
        <f t="shared" si="333"/>
        <v>-5348</v>
      </c>
      <c r="EL112" s="43">
        <f t="shared" si="333"/>
        <v>-6179</v>
      </c>
    </row>
    <row r="113" spans="1:142" x14ac:dyDescent="0.3">
      <c r="B113" s="139" t="s">
        <v>42</v>
      </c>
      <c r="C113" s="123" t="s">
        <v>447</v>
      </c>
      <c r="D113" s="192" t="str">
        <f>IF(Menu!$D$12="PT",'Dados Financeiros'!B113,'Dados Financeiros'!C113)</f>
        <v>Diferido</v>
      </c>
      <c r="E113" s="37">
        <v>63</v>
      </c>
      <c r="F113" s="37">
        <v>-1081</v>
      </c>
      <c r="G113" s="37">
        <v>-1218</v>
      </c>
      <c r="H113" s="37">
        <v>-144</v>
      </c>
      <c r="I113" s="37">
        <v>-471</v>
      </c>
      <c r="J113" s="37">
        <v>-1501</v>
      </c>
      <c r="K113" s="37">
        <v>-1635</v>
      </c>
      <c r="L113" s="37">
        <v>-1847</v>
      </c>
      <c r="M113" s="37">
        <v>-1353</v>
      </c>
      <c r="N113" s="37">
        <v>-1312</v>
      </c>
      <c r="O113" s="37">
        <v>-2896</v>
      </c>
      <c r="P113" s="37">
        <v>-1742</v>
      </c>
      <c r="Q113" s="37">
        <v>-904</v>
      </c>
      <c r="R113" s="37">
        <v>-3785</v>
      </c>
      <c r="S113" s="37">
        <v>-4570</v>
      </c>
      <c r="T113" s="37">
        <v>-10170</v>
      </c>
      <c r="U113" s="37">
        <v>-6536</v>
      </c>
      <c r="V113" s="37">
        <v>-6932</v>
      </c>
      <c r="W113" s="37">
        <v>-3033</v>
      </c>
      <c r="X113" s="37">
        <v>749</v>
      </c>
      <c r="Y113" s="37">
        <v>-630</v>
      </c>
      <c r="Z113" s="37">
        <v>-1391</v>
      </c>
      <c r="AA113" s="37">
        <v>-3319</v>
      </c>
      <c r="AB113" s="37">
        <v>-3531</v>
      </c>
      <c r="AC113" s="37">
        <v>-1090</v>
      </c>
      <c r="AD113" s="37">
        <v>-1182</v>
      </c>
      <c r="AE113" s="37">
        <v>17696</v>
      </c>
      <c r="AF113" s="37">
        <v>14651</v>
      </c>
      <c r="AG113" s="37">
        <v>-2263</v>
      </c>
      <c r="AH113" s="37">
        <v>1164</v>
      </c>
      <c r="AI113" s="37">
        <v>-1795</v>
      </c>
      <c r="AJ113" s="37">
        <v>-231</v>
      </c>
      <c r="AK113" s="37">
        <v>-2023</v>
      </c>
      <c r="AL113" s="37">
        <v>-1408</v>
      </c>
      <c r="AM113" s="37">
        <v>615</v>
      </c>
      <c r="AN113" s="4">
        <v>3679</v>
      </c>
      <c r="AO113" s="4">
        <v>1336</v>
      </c>
      <c r="AP113" s="4">
        <v>1151</v>
      </c>
      <c r="AQ113" s="4">
        <v>851</v>
      </c>
      <c r="AR113" s="4">
        <v>2500</v>
      </c>
      <c r="AS113" s="4">
        <v>72</v>
      </c>
      <c r="AT113" s="4">
        <v>1342</v>
      </c>
      <c r="AU113" s="4">
        <v>3378</v>
      </c>
      <c r="AV113" s="4">
        <v>1846</v>
      </c>
      <c r="AW113" s="4">
        <v>1354</v>
      </c>
      <c r="AX113" s="4">
        <v>1927</v>
      </c>
      <c r="AY113" s="4">
        <v>2491</v>
      </c>
      <c r="AZ113" s="4">
        <v>799</v>
      </c>
      <c r="BA113" s="94">
        <v>1110</v>
      </c>
      <c r="BB113" s="4">
        <v>1218</v>
      </c>
      <c r="BC113" s="4">
        <v>1778</v>
      </c>
      <c r="BD113" s="4">
        <v>120</v>
      </c>
      <c r="BE113" s="4">
        <v>116</v>
      </c>
      <c r="BF113" s="4">
        <v>241</v>
      </c>
      <c r="BG113" s="4">
        <v>-282</v>
      </c>
      <c r="BH113" s="4">
        <v>-495</v>
      </c>
      <c r="BI113" s="4">
        <v>-236</v>
      </c>
      <c r="BJ113" s="4">
        <v>-370</v>
      </c>
      <c r="BK113" s="4">
        <v>-474</v>
      </c>
      <c r="BL113" s="4">
        <v>-339</v>
      </c>
      <c r="BM113" s="4">
        <v>1505</v>
      </c>
      <c r="BN113" s="4">
        <v>-38</v>
      </c>
      <c r="BO113" s="4">
        <v>1281</v>
      </c>
      <c r="BP113" s="4">
        <v>-202</v>
      </c>
      <c r="BQ113" s="4">
        <v>-132</v>
      </c>
      <c r="BR113" s="4">
        <v>-140</v>
      </c>
      <c r="BS113" s="4">
        <v>-835</v>
      </c>
      <c r="BT113" s="4">
        <v>106</v>
      </c>
      <c r="BU113" s="4">
        <v>-36</v>
      </c>
      <c r="BV113" s="4">
        <v>-538</v>
      </c>
      <c r="BW113" s="4">
        <v>-2259</v>
      </c>
      <c r="BX113" s="4">
        <v>-520</v>
      </c>
      <c r="BY113" s="4">
        <v>735</v>
      </c>
      <c r="BZ113" s="4">
        <v>-886</v>
      </c>
      <c r="CA113" s="4">
        <v>1229</v>
      </c>
      <c r="CB113" s="4">
        <v>-314</v>
      </c>
      <c r="CC113" s="4">
        <v>1397</v>
      </c>
      <c r="CD113" s="4">
        <v>790</v>
      </c>
      <c r="CE113" s="4">
        <v>-10</v>
      </c>
      <c r="CF113" s="4">
        <v>417</v>
      </c>
      <c r="CH113" s="37">
        <f t="shared" si="328"/>
        <v>-1018</v>
      </c>
      <c r="CI113" s="37">
        <f t="shared" si="328"/>
        <v>-2236</v>
      </c>
      <c r="CJ113" s="37">
        <f t="shared" si="328"/>
        <v>-2380</v>
      </c>
      <c r="CK113" s="37">
        <f t="shared" si="328"/>
        <v>-1972</v>
      </c>
      <c r="CL113" s="37">
        <f t="shared" si="328"/>
        <v>-3607</v>
      </c>
      <c r="CM113" s="37">
        <f t="shared" si="328"/>
        <v>-5454</v>
      </c>
      <c r="CN113" s="37">
        <f t="shared" si="328"/>
        <v>-2665</v>
      </c>
      <c r="CO113" s="37">
        <f t="shared" si="328"/>
        <v>-5561</v>
      </c>
      <c r="CP113" s="37">
        <f t="shared" si="328"/>
        <v>-7303</v>
      </c>
      <c r="CQ113" s="37">
        <f t="shared" si="328"/>
        <v>-4689</v>
      </c>
      <c r="CR113" s="37">
        <f t="shared" si="329"/>
        <v>-9259</v>
      </c>
      <c r="CS113" s="37">
        <f t="shared" si="329"/>
        <v>-19429</v>
      </c>
      <c r="CT113" s="37">
        <f t="shared" si="329"/>
        <v>-13468</v>
      </c>
      <c r="CU113" s="37">
        <f t="shared" si="329"/>
        <v>-16501</v>
      </c>
      <c r="CV113" s="37">
        <f t="shared" si="329"/>
        <v>-15752</v>
      </c>
      <c r="CW113" s="37">
        <f t="shared" si="329"/>
        <v>-4922</v>
      </c>
      <c r="CX113" s="37">
        <f t="shared" si="329"/>
        <v>-6104</v>
      </c>
      <c r="CY113" s="37">
        <f t="shared" si="329"/>
        <v>8547</v>
      </c>
      <c r="CZ113" s="37">
        <f t="shared" si="329"/>
        <v>-1099</v>
      </c>
      <c r="DA113" s="37">
        <f t="shared" si="329"/>
        <v>-2894</v>
      </c>
      <c r="DB113" s="37">
        <f t="shared" si="330"/>
        <v>-3125</v>
      </c>
      <c r="DC113" s="37">
        <f t="shared" si="330"/>
        <v>-3431</v>
      </c>
      <c r="DD113" s="37">
        <f t="shared" si="330"/>
        <v>-2816</v>
      </c>
      <c r="DE113" s="37">
        <f t="shared" si="330"/>
        <v>863</v>
      </c>
      <c r="DF113" s="37">
        <f t="shared" si="330"/>
        <v>2487</v>
      </c>
      <c r="DG113" s="37">
        <f t="shared" si="330"/>
        <v>3338</v>
      </c>
      <c r="DH113" s="37">
        <f t="shared" si="330"/>
        <v>5838</v>
      </c>
      <c r="DI113" s="37">
        <f t="shared" si="330"/>
        <v>1414</v>
      </c>
      <c r="DJ113" s="37">
        <f t="shared" si="330"/>
        <v>4792</v>
      </c>
      <c r="DK113" s="37">
        <f t="shared" si="330"/>
        <v>6638</v>
      </c>
      <c r="DL113" s="37">
        <f t="shared" si="331"/>
        <v>3281</v>
      </c>
      <c r="DM113" s="37">
        <f t="shared" si="331"/>
        <v>5772</v>
      </c>
      <c r="DN113" s="37">
        <f t="shared" si="331"/>
        <v>6571</v>
      </c>
      <c r="DO113" s="37">
        <f t="shared" si="331"/>
        <v>2328</v>
      </c>
      <c r="DP113" s="37">
        <f t="shared" si="331"/>
        <v>4106</v>
      </c>
      <c r="DQ113" s="37">
        <f t="shared" si="331"/>
        <v>4226</v>
      </c>
      <c r="DR113" s="37">
        <f t="shared" si="331"/>
        <v>357</v>
      </c>
      <c r="DS113" s="37">
        <f t="shared" si="331"/>
        <v>75</v>
      </c>
      <c r="DT113" s="37">
        <f t="shared" si="331"/>
        <v>-420</v>
      </c>
      <c r="DU113" s="37">
        <f t="shared" si="331"/>
        <v>-606</v>
      </c>
      <c r="DV113" s="37">
        <f t="shared" si="332"/>
        <v>-1080</v>
      </c>
      <c r="DW113" s="37">
        <f t="shared" si="332"/>
        <v>-1419</v>
      </c>
      <c r="DX113" s="37">
        <f t="shared" si="332"/>
        <v>1467</v>
      </c>
      <c r="DY113" s="37">
        <f t="shared" si="332"/>
        <v>2748</v>
      </c>
      <c r="DZ113" s="37">
        <f t="shared" si="332"/>
        <v>2546</v>
      </c>
      <c r="EA113" s="37">
        <f t="shared" si="332"/>
        <v>-272</v>
      </c>
      <c r="EB113" s="37">
        <f t="shared" si="332"/>
        <v>-1107</v>
      </c>
      <c r="EC113" s="37">
        <f t="shared" si="332"/>
        <v>-1001</v>
      </c>
      <c r="ED113" s="37">
        <f t="shared" si="332"/>
        <v>-574</v>
      </c>
      <c r="EE113" s="37">
        <f t="shared" si="332"/>
        <v>-2833</v>
      </c>
      <c r="EF113" s="37">
        <f t="shared" si="333"/>
        <v>-3353</v>
      </c>
      <c r="EG113" s="37">
        <f t="shared" si="333"/>
        <v>-151</v>
      </c>
      <c r="EH113" s="37">
        <f t="shared" si="333"/>
        <v>1078</v>
      </c>
      <c r="EI113" s="37">
        <f t="shared" si="333"/>
        <v>764</v>
      </c>
      <c r="EJ113" s="37">
        <f t="shared" si="333"/>
        <v>2187</v>
      </c>
      <c r="EK113" s="37">
        <f t="shared" si="333"/>
        <v>2177</v>
      </c>
      <c r="EL113" s="37">
        <f t="shared" si="333"/>
        <v>2594</v>
      </c>
    </row>
    <row r="114" spans="1:142" ht="14.4" thickBot="1" x14ac:dyDescent="0.35">
      <c r="B114" s="127" t="s">
        <v>41</v>
      </c>
      <c r="C114" s="127" t="s">
        <v>448</v>
      </c>
      <c r="D114" s="193" t="str">
        <f>IF(Menu!$D$12="PT",'Dados Financeiros'!B114,'Dados Financeiros'!C114)</f>
        <v>Do exercício</v>
      </c>
      <c r="E114" s="39">
        <v>-739</v>
      </c>
      <c r="F114" s="39">
        <v>-1158</v>
      </c>
      <c r="G114" s="39">
        <v>-1832</v>
      </c>
      <c r="H114" s="39">
        <v>-3297</v>
      </c>
      <c r="I114" s="39">
        <v>-5825</v>
      </c>
      <c r="J114" s="39">
        <v>-3443</v>
      </c>
      <c r="K114" s="39">
        <v>-571</v>
      </c>
      <c r="L114" s="39">
        <v>-3182</v>
      </c>
      <c r="M114" s="39">
        <v>-3043</v>
      </c>
      <c r="N114" s="39">
        <v>-4169</v>
      </c>
      <c r="O114" s="39">
        <v>-4159</v>
      </c>
      <c r="P114" s="39">
        <v>-3645</v>
      </c>
      <c r="Q114" s="39">
        <v>-2920</v>
      </c>
      <c r="R114" s="39">
        <v>-4529</v>
      </c>
      <c r="S114" s="39">
        <v>-8297</v>
      </c>
      <c r="T114" s="39">
        <v>-7547</v>
      </c>
      <c r="U114" s="39">
        <v>-6841</v>
      </c>
      <c r="V114" s="39">
        <v>-6856</v>
      </c>
      <c r="W114" s="39">
        <v>-9203</v>
      </c>
      <c r="X114" s="39">
        <v>-9670</v>
      </c>
      <c r="Y114" s="39">
        <v>-8844</v>
      </c>
      <c r="Z114" s="39">
        <v>-6387</v>
      </c>
      <c r="AA114" s="39">
        <v>-8535</v>
      </c>
      <c r="AB114" s="39">
        <v>-5793</v>
      </c>
      <c r="AC114" s="39">
        <v>-9038</v>
      </c>
      <c r="AD114" s="39">
        <v>-6545</v>
      </c>
      <c r="AE114" s="39">
        <v>-11592</v>
      </c>
      <c r="AF114" s="39">
        <v>-9647</v>
      </c>
      <c r="AG114" s="39">
        <v>-7113</v>
      </c>
      <c r="AH114" s="39">
        <v>-9754</v>
      </c>
      <c r="AI114" s="39">
        <v>-8423</v>
      </c>
      <c r="AJ114" s="39">
        <v>-9602</v>
      </c>
      <c r="AK114" s="39">
        <v>-6521</v>
      </c>
      <c r="AL114" s="39">
        <v>-7255</v>
      </c>
      <c r="AM114" s="39">
        <v>-9126</v>
      </c>
      <c r="AN114" s="39">
        <v>-10483</v>
      </c>
      <c r="AO114" s="39">
        <v>-9734</v>
      </c>
      <c r="AP114" s="39">
        <v>-9491</v>
      </c>
      <c r="AQ114" s="39">
        <v>-8373</v>
      </c>
      <c r="AR114" s="39">
        <v>-7483</v>
      </c>
      <c r="AS114" s="39">
        <v>-3398</v>
      </c>
      <c r="AT114" s="39">
        <v>-3313</v>
      </c>
      <c r="AU114" s="39">
        <v>-3446</v>
      </c>
      <c r="AV114" s="39">
        <v>-2522</v>
      </c>
      <c r="AW114" s="4">
        <v>-3668</v>
      </c>
      <c r="AX114" s="4">
        <v>-3960</v>
      </c>
      <c r="AY114" s="4">
        <v>-3048</v>
      </c>
      <c r="AZ114" s="4">
        <v>-1407</v>
      </c>
      <c r="BA114" s="94">
        <v>-4634</v>
      </c>
      <c r="BB114" s="4">
        <v>-2500</v>
      </c>
      <c r="BC114" s="4">
        <v>-1222</v>
      </c>
      <c r="BD114" s="4">
        <v>-1108</v>
      </c>
      <c r="BE114" s="4">
        <v>-1438</v>
      </c>
      <c r="BF114" s="4">
        <v>-1145</v>
      </c>
      <c r="BG114" s="4">
        <v>-1051</v>
      </c>
      <c r="BH114" s="4">
        <v>-1609</v>
      </c>
      <c r="BI114" s="4">
        <v>-609</v>
      </c>
      <c r="BJ114" s="4">
        <v>-1040</v>
      </c>
      <c r="BK114" s="4">
        <v>-873</v>
      </c>
      <c r="BL114" s="4">
        <v>-1827</v>
      </c>
      <c r="BM114" s="4">
        <v>-2607</v>
      </c>
      <c r="BN114" s="4">
        <v>-856</v>
      </c>
      <c r="BO114" s="4">
        <v>-2673</v>
      </c>
      <c r="BP114" s="4">
        <v>-901</v>
      </c>
      <c r="BQ114" s="4">
        <v>-1185</v>
      </c>
      <c r="BR114" s="4">
        <v>-938</v>
      </c>
      <c r="BS114" s="4">
        <v>-2209</v>
      </c>
      <c r="BT114" s="4">
        <v>-2042</v>
      </c>
      <c r="BU114" s="4">
        <v>-2959</v>
      </c>
      <c r="BV114" s="4">
        <v>-2404</v>
      </c>
      <c r="BW114" s="4">
        <v>-419</v>
      </c>
      <c r="BX114" s="4">
        <v>-2727</v>
      </c>
      <c r="BY114" s="4">
        <v>-2992</v>
      </c>
      <c r="BZ114" s="4">
        <v>-3612</v>
      </c>
      <c r="CA114" s="4">
        <v>-4167</v>
      </c>
      <c r="CB114" s="4">
        <v>-2613</v>
      </c>
      <c r="CC114" s="4">
        <v>-3163</v>
      </c>
      <c r="CD114" s="4">
        <v>-2040</v>
      </c>
      <c r="CE114" s="4">
        <v>-2322</v>
      </c>
      <c r="CF114" s="4">
        <v>-1248</v>
      </c>
      <c r="CH114" s="37">
        <f t="shared" si="328"/>
        <v>-1897</v>
      </c>
      <c r="CI114" s="37">
        <f t="shared" si="328"/>
        <v>-3729</v>
      </c>
      <c r="CJ114" s="37">
        <f t="shared" si="328"/>
        <v>-7026</v>
      </c>
      <c r="CK114" s="37">
        <f t="shared" si="328"/>
        <v>-9268</v>
      </c>
      <c r="CL114" s="37">
        <f t="shared" si="328"/>
        <v>-9839</v>
      </c>
      <c r="CM114" s="37">
        <f t="shared" si="328"/>
        <v>-13021</v>
      </c>
      <c r="CN114" s="37">
        <f t="shared" si="328"/>
        <v>-7212</v>
      </c>
      <c r="CO114" s="37">
        <f t="shared" si="328"/>
        <v>-11371</v>
      </c>
      <c r="CP114" s="37">
        <f t="shared" si="328"/>
        <v>-15016</v>
      </c>
      <c r="CQ114" s="37">
        <f t="shared" si="328"/>
        <v>-7449</v>
      </c>
      <c r="CR114" s="37">
        <f t="shared" si="329"/>
        <v>-15746</v>
      </c>
      <c r="CS114" s="37">
        <f t="shared" si="329"/>
        <v>-23293</v>
      </c>
      <c r="CT114" s="37">
        <f t="shared" si="329"/>
        <v>-13697</v>
      </c>
      <c r="CU114" s="37">
        <f t="shared" si="329"/>
        <v>-22900</v>
      </c>
      <c r="CV114" s="37">
        <f t="shared" si="329"/>
        <v>-32570</v>
      </c>
      <c r="CW114" s="37">
        <f t="shared" si="329"/>
        <v>-12180</v>
      </c>
      <c r="CX114" s="37">
        <f t="shared" si="329"/>
        <v>-18725</v>
      </c>
      <c r="CY114" s="37">
        <f t="shared" si="329"/>
        <v>-28372</v>
      </c>
      <c r="CZ114" s="37">
        <f t="shared" si="329"/>
        <v>-16867</v>
      </c>
      <c r="DA114" s="37">
        <f t="shared" si="329"/>
        <v>-25290</v>
      </c>
      <c r="DB114" s="37">
        <f t="shared" si="330"/>
        <v>-34892</v>
      </c>
      <c r="DC114" s="37">
        <f t="shared" si="330"/>
        <v>-13776</v>
      </c>
      <c r="DD114" s="37">
        <f t="shared" si="330"/>
        <v>-22902</v>
      </c>
      <c r="DE114" s="37">
        <f t="shared" si="330"/>
        <v>-33385</v>
      </c>
      <c r="DF114" s="37">
        <f t="shared" si="330"/>
        <v>-19225</v>
      </c>
      <c r="DG114" s="37">
        <f t="shared" si="330"/>
        <v>-27598</v>
      </c>
      <c r="DH114" s="37">
        <f t="shared" si="330"/>
        <v>-35081</v>
      </c>
      <c r="DI114" s="37">
        <f t="shared" si="330"/>
        <v>-6711</v>
      </c>
      <c r="DJ114" s="37">
        <f t="shared" si="330"/>
        <v>-10157</v>
      </c>
      <c r="DK114" s="37">
        <f t="shared" si="330"/>
        <v>-12679</v>
      </c>
      <c r="DL114" s="37">
        <f t="shared" si="331"/>
        <v>-7628</v>
      </c>
      <c r="DM114" s="37">
        <f t="shared" si="331"/>
        <v>-10676</v>
      </c>
      <c r="DN114" s="37">
        <f t="shared" si="331"/>
        <v>-12083</v>
      </c>
      <c r="DO114" s="37">
        <f t="shared" si="331"/>
        <v>-7134</v>
      </c>
      <c r="DP114" s="37">
        <f t="shared" si="331"/>
        <v>-8356</v>
      </c>
      <c r="DQ114" s="37">
        <f t="shared" si="331"/>
        <v>-9464</v>
      </c>
      <c r="DR114" s="37">
        <f t="shared" si="331"/>
        <v>-2583</v>
      </c>
      <c r="DS114" s="37">
        <f t="shared" si="331"/>
        <v>-3634</v>
      </c>
      <c r="DT114" s="37">
        <f t="shared" si="331"/>
        <v>-5243</v>
      </c>
      <c r="DU114" s="37">
        <f t="shared" si="331"/>
        <v>-1649</v>
      </c>
      <c r="DV114" s="37">
        <f t="shared" si="332"/>
        <v>-2522</v>
      </c>
      <c r="DW114" s="37">
        <f t="shared" si="332"/>
        <v>-4349</v>
      </c>
      <c r="DX114" s="37">
        <f t="shared" si="332"/>
        <v>-3463</v>
      </c>
      <c r="DY114" s="37">
        <f t="shared" si="332"/>
        <v>-6136</v>
      </c>
      <c r="DZ114" s="37">
        <f t="shared" si="332"/>
        <v>-7037</v>
      </c>
      <c r="EA114" s="37">
        <f t="shared" si="332"/>
        <v>-2123</v>
      </c>
      <c r="EB114" s="37">
        <f t="shared" si="332"/>
        <v>-4332</v>
      </c>
      <c r="EC114" s="37">
        <f t="shared" si="332"/>
        <v>-6374</v>
      </c>
      <c r="ED114" s="37">
        <f t="shared" si="332"/>
        <v>-5363</v>
      </c>
      <c r="EE114" s="37">
        <f t="shared" si="332"/>
        <v>-5782</v>
      </c>
      <c r="EF114" s="37">
        <f t="shared" si="333"/>
        <v>-8509</v>
      </c>
      <c r="EG114" s="37">
        <f t="shared" si="333"/>
        <v>-6604</v>
      </c>
      <c r="EH114" s="37">
        <f t="shared" si="333"/>
        <v>-10771</v>
      </c>
      <c r="EI114" s="37">
        <f t="shared" si="333"/>
        <v>-13384</v>
      </c>
      <c r="EJ114" s="37">
        <f t="shared" si="333"/>
        <v>-5203</v>
      </c>
      <c r="EK114" s="37">
        <f t="shared" si="333"/>
        <v>-7525</v>
      </c>
      <c r="EL114" s="37">
        <f t="shared" si="333"/>
        <v>-8773</v>
      </c>
    </row>
    <row r="115" spans="1:142" ht="14.4" thickBot="1" x14ac:dyDescent="0.35">
      <c r="B115" s="27" t="s">
        <v>40</v>
      </c>
      <c r="C115" s="118" t="s">
        <v>449</v>
      </c>
      <c r="D115" s="181" t="str">
        <f>IF(Menu!$D$12="PT",'Dados Financeiros'!B115,'Dados Financeiros'!C115)</f>
        <v>Lucro líq. antes da partic. de minoritários</v>
      </c>
      <c r="E115" s="20">
        <f t="shared" ref="E115:AV115" si="334">E110+E112</f>
        <v>-21597</v>
      </c>
      <c r="F115" s="20">
        <f t="shared" si="334"/>
        <v>19905</v>
      </c>
      <c r="G115" s="20">
        <f t="shared" si="334"/>
        <v>23158</v>
      </c>
      <c r="H115" s="20">
        <f t="shared" si="334"/>
        <v>-1561</v>
      </c>
      <c r="I115" s="20">
        <f t="shared" si="334"/>
        <v>30950</v>
      </c>
      <c r="J115" s="20">
        <f t="shared" si="334"/>
        <v>23263</v>
      </c>
      <c r="K115" s="20">
        <f t="shared" si="334"/>
        <v>17400</v>
      </c>
      <c r="L115" s="20">
        <f t="shared" si="334"/>
        <v>12078</v>
      </c>
      <c r="M115" s="20">
        <f t="shared" si="334"/>
        <v>24995</v>
      </c>
      <c r="N115" s="20">
        <f t="shared" si="334"/>
        <v>35728</v>
      </c>
      <c r="O115" s="20">
        <f t="shared" si="334"/>
        <v>40183</v>
      </c>
      <c r="P115" s="20">
        <f t="shared" si="334"/>
        <v>31573</v>
      </c>
      <c r="Q115" s="20">
        <f t="shared" si="334"/>
        <v>47351</v>
      </c>
      <c r="R115" s="20">
        <f t="shared" si="334"/>
        <v>47815</v>
      </c>
      <c r="S115" s="20">
        <f t="shared" si="334"/>
        <v>59046</v>
      </c>
      <c r="T115" s="20">
        <f t="shared" si="334"/>
        <v>73917</v>
      </c>
      <c r="U115" s="20">
        <f t="shared" si="334"/>
        <v>69978</v>
      </c>
      <c r="V115" s="20">
        <f t="shared" si="334"/>
        <v>73298</v>
      </c>
      <c r="W115" s="20">
        <f t="shared" si="334"/>
        <v>52753</v>
      </c>
      <c r="X115" s="20">
        <f t="shared" si="334"/>
        <v>-31863</v>
      </c>
      <c r="Y115" s="20">
        <f t="shared" si="334"/>
        <v>-6700</v>
      </c>
      <c r="Z115" s="20">
        <f t="shared" si="334"/>
        <v>-6336</v>
      </c>
      <c r="AA115" s="20">
        <f t="shared" si="334"/>
        <v>3811</v>
      </c>
      <c r="AB115" s="20">
        <f t="shared" si="334"/>
        <v>4508</v>
      </c>
      <c r="AC115" s="20">
        <f t="shared" si="334"/>
        <v>-57472</v>
      </c>
      <c r="AD115" s="20">
        <f t="shared" si="334"/>
        <v>-57086</v>
      </c>
      <c r="AE115" s="20">
        <f t="shared" si="334"/>
        <v>-107869</v>
      </c>
      <c r="AF115" s="20">
        <f t="shared" si="334"/>
        <v>-107521</v>
      </c>
      <c r="AG115" s="20">
        <f t="shared" si="334"/>
        <v>66556</v>
      </c>
      <c r="AH115" s="20">
        <f t="shared" si="334"/>
        <v>91956</v>
      </c>
      <c r="AI115" s="20">
        <f t="shared" si="334"/>
        <v>73840</v>
      </c>
      <c r="AJ115" s="20">
        <f t="shared" si="334"/>
        <v>53097</v>
      </c>
      <c r="AK115" s="20">
        <f t="shared" si="334"/>
        <v>44122</v>
      </c>
      <c r="AL115" s="20">
        <f t="shared" si="334"/>
        <v>98650</v>
      </c>
      <c r="AM115" s="20">
        <f t="shared" si="334"/>
        <v>47326</v>
      </c>
      <c r="AN115" s="20">
        <f t="shared" si="334"/>
        <v>21692</v>
      </c>
      <c r="AO115" s="20">
        <f t="shared" si="334"/>
        <v>48637</v>
      </c>
      <c r="AP115" s="20">
        <f t="shared" si="334"/>
        <v>53499</v>
      </c>
      <c r="AQ115" s="20">
        <f t="shared" si="334"/>
        <v>26906</v>
      </c>
      <c r="AR115" s="20">
        <f t="shared" si="334"/>
        <v>163863</v>
      </c>
      <c r="AS115" s="20">
        <f t="shared" si="334"/>
        <v>3547</v>
      </c>
      <c r="AT115" s="20">
        <f t="shared" si="334"/>
        <v>-94588</v>
      </c>
      <c r="AU115" s="20">
        <f t="shared" si="334"/>
        <v>-111465</v>
      </c>
      <c r="AV115" s="20">
        <f t="shared" si="334"/>
        <v>-253937</v>
      </c>
      <c r="AW115" s="20">
        <f t="shared" ref="AW115:AX115" si="335">AW110+AW112</f>
        <v>-64391</v>
      </c>
      <c r="AX115" s="20">
        <f t="shared" si="335"/>
        <v>-143887</v>
      </c>
      <c r="AY115" s="20">
        <f t="shared" ref="AY115:BC115" si="336">AY110+AY112</f>
        <v>-144588</v>
      </c>
      <c r="AZ115" s="20">
        <f t="shared" ref="AZ115:BB115" si="337">AZ110+AZ112</f>
        <v>-178728</v>
      </c>
      <c r="BA115" s="20">
        <f t="shared" si="337"/>
        <v>-55321</v>
      </c>
      <c r="BB115" s="20">
        <f t="shared" si="337"/>
        <v>-86660</v>
      </c>
      <c r="BC115" s="20">
        <f t="shared" si="336"/>
        <v>-75115</v>
      </c>
      <c r="BD115" s="20">
        <f t="shared" ref="BD115:BE115" si="338">BD110+BD112</f>
        <v>-66192</v>
      </c>
      <c r="BE115" s="20">
        <f t="shared" si="338"/>
        <v>-1624</v>
      </c>
      <c r="BF115" s="20">
        <f t="shared" ref="BF115:BG115" si="339">BF110+BF112</f>
        <v>-144752</v>
      </c>
      <c r="BG115" s="20">
        <f t="shared" si="339"/>
        <v>-54714</v>
      </c>
      <c r="BH115" s="20">
        <f t="shared" ref="BH115:BM115" si="340">BH110+BH112</f>
        <v>-61284</v>
      </c>
      <c r="BI115" s="20">
        <f t="shared" si="340"/>
        <v>-58948</v>
      </c>
      <c r="BJ115" s="20">
        <f t="shared" si="340"/>
        <v>-40825</v>
      </c>
      <c r="BK115" s="20">
        <f t="shared" si="340"/>
        <v>-35635</v>
      </c>
      <c r="BL115" s="20">
        <f t="shared" si="340"/>
        <v>-31467</v>
      </c>
      <c r="BM115" s="20">
        <f t="shared" si="340"/>
        <v>-26611</v>
      </c>
      <c r="BN115" s="20">
        <f>BN110+BN112</f>
        <v>-54069</v>
      </c>
      <c r="BO115" s="20">
        <v>-45501.5</v>
      </c>
      <c r="BP115" s="20">
        <f>BP110+BP112</f>
        <v>-59459.49</v>
      </c>
      <c r="BQ115" s="20">
        <v>-6973</v>
      </c>
      <c r="BR115" s="20">
        <f>BR110+BR112</f>
        <v>-9529</v>
      </c>
      <c r="BS115" s="20">
        <v>1910</v>
      </c>
      <c r="BT115" s="20">
        <v>16892</v>
      </c>
      <c r="BU115" s="20">
        <v>4668</v>
      </c>
      <c r="BV115" s="20">
        <v>4789</v>
      </c>
      <c r="BW115" s="20">
        <v>-8101</v>
      </c>
      <c r="BX115" s="20">
        <v>-56623</v>
      </c>
      <c r="BY115" s="20">
        <v>-20778</v>
      </c>
      <c r="BZ115" s="20">
        <v>-33473</v>
      </c>
      <c r="CA115" s="20">
        <v>-42877</v>
      </c>
      <c r="CB115" s="20">
        <f>+CB112+CB110</f>
        <v>-53924.999999999985</v>
      </c>
      <c r="CC115" s="20">
        <f>+CC112+CC110</f>
        <v>-8075</v>
      </c>
      <c r="CD115" s="20">
        <f>+CD112+CD110</f>
        <v>-59404</v>
      </c>
      <c r="CE115" s="20">
        <f>+CE112+CE110</f>
        <v>-8213</v>
      </c>
      <c r="CF115" s="20">
        <f>+CF112+CF110</f>
        <v>-24439</v>
      </c>
      <c r="CH115" s="20">
        <f t="shared" si="328"/>
        <v>-1692</v>
      </c>
      <c r="CI115" s="20">
        <f t="shared" si="328"/>
        <v>21466</v>
      </c>
      <c r="CJ115" s="20">
        <f t="shared" si="328"/>
        <v>19905</v>
      </c>
      <c r="CK115" s="20">
        <f t="shared" si="328"/>
        <v>54213</v>
      </c>
      <c r="CL115" s="20">
        <f t="shared" si="328"/>
        <v>71613</v>
      </c>
      <c r="CM115" s="20">
        <f t="shared" si="328"/>
        <v>83691</v>
      </c>
      <c r="CN115" s="20">
        <f t="shared" si="328"/>
        <v>60723</v>
      </c>
      <c r="CO115" s="20">
        <f t="shared" si="328"/>
        <v>100906</v>
      </c>
      <c r="CP115" s="20">
        <f t="shared" si="328"/>
        <v>132479</v>
      </c>
      <c r="CQ115" s="20">
        <f t="shared" si="328"/>
        <v>95166</v>
      </c>
      <c r="CR115" s="20">
        <f t="shared" si="329"/>
        <v>154212</v>
      </c>
      <c r="CS115" s="20">
        <f t="shared" si="329"/>
        <v>228129</v>
      </c>
      <c r="CT115" s="20">
        <f t="shared" si="329"/>
        <v>143276</v>
      </c>
      <c r="CU115" s="20">
        <f t="shared" si="329"/>
        <v>196029</v>
      </c>
      <c r="CV115" s="20">
        <f t="shared" si="329"/>
        <v>164166</v>
      </c>
      <c r="CW115" s="20">
        <f t="shared" si="329"/>
        <v>-1828</v>
      </c>
      <c r="CX115" s="20">
        <f t="shared" si="329"/>
        <v>-58914</v>
      </c>
      <c r="CY115" s="20">
        <f t="shared" si="329"/>
        <v>-166435</v>
      </c>
      <c r="CZ115" s="20">
        <f t="shared" si="329"/>
        <v>158512</v>
      </c>
      <c r="DA115" s="20">
        <f t="shared" si="329"/>
        <v>232352</v>
      </c>
      <c r="DB115" s="20">
        <f t="shared" si="330"/>
        <v>285449</v>
      </c>
      <c r="DC115" s="20">
        <f t="shared" si="330"/>
        <v>142772</v>
      </c>
      <c r="DD115" s="20">
        <f t="shared" si="330"/>
        <v>190098</v>
      </c>
      <c r="DE115" s="20">
        <f t="shared" si="330"/>
        <v>211790</v>
      </c>
      <c r="DF115" s="20">
        <f t="shared" si="330"/>
        <v>102136</v>
      </c>
      <c r="DG115" s="20">
        <f t="shared" si="330"/>
        <v>129042</v>
      </c>
      <c r="DH115" s="20">
        <f t="shared" si="330"/>
        <v>292905</v>
      </c>
      <c r="DI115" s="20">
        <f t="shared" si="330"/>
        <v>-91041</v>
      </c>
      <c r="DJ115" s="20">
        <f t="shared" si="330"/>
        <v>-202506</v>
      </c>
      <c r="DK115" s="20">
        <f t="shared" si="330"/>
        <v>-456443</v>
      </c>
      <c r="DL115" s="20">
        <f t="shared" si="331"/>
        <v>-208278</v>
      </c>
      <c r="DM115" s="20">
        <f t="shared" si="331"/>
        <v>-352866</v>
      </c>
      <c r="DN115" s="20">
        <f t="shared" si="331"/>
        <v>-531594</v>
      </c>
      <c r="DO115" s="20">
        <f t="shared" si="331"/>
        <v>-141981</v>
      </c>
      <c r="DP115" s="20">
        <f t="shared" si="331"/>
        <v>-217096</v>
      </c>
      <c r="DQ115" s="20">
        <f t="shared" si="331"/>
        <v>-283288</v>
      </c>
      <c r="DR115" s="20">
        <f t="shared" si="331"/>
        <v>-146376</v>
      </c>
      <c r="DS115" s="20">
        <f t="shared" si="331"/>
        <v>-201090</v>
      </c>
      <c r="DT115" s="20">
        <f t="shared" si="331"/>
        <v>-262374</v>
      </c>
      <c r="DU115" s="20">
        <f t="shared" si="331"/>
        <v>-99773</v>
      </c>
      <c r="DV115" s="20">
        <f t="shared" si="332"/>
        <v>-135408</v>
      </c>
      <c r="DW115" s="20">
        <f t="shared" si="332"/>
        <v>-166875</v>
      </c>
      <c r="DX115" s="20">
        <f t="shared" si="332"/>
        <v>-80680</v>
      </c>
      <c r="DY115" s="20">
        <f t="shared" si="332"/>
        <v>-126181.5</v>
      </c>
      <c r="DZ115" s="20">
        <f t="shared" si="332"/>
        <v>-185640.99</v>
      </c>
      <c r="EA115" s="20">
        <f t="shared" si="332"/>
        <v>-16502</v>
      </c>
      <c r="EB115" s="20">
        <f t="shared" si="332"/>
        <v>-14592</v>
      </c>
      <c r="EC115" s="20">
        <f t="shared" si="332"/>
        <v>2300</v>
      </c>
      <c r="ED115" s="20">
        <f t="shared" si="332"/>
        <v>9457</v>
      </c>
      <c r="EE115" s="20">
        <f t="shared" si="332"/>
        <v>1356</v>
      </c>
      <c r="EF115" s="20">
        <f t="shared" si="333"/>
        <v>-55267</v>
      </c>
      <c r="EG115" s="20">
        <f t="shared" si="333"/>
        <v>-54251</v>
      </c>
      <c r="EH115" s="20">
        <f t="shared" si="333"/>
        <v>-97128</v>
      </c>
      <c r="EI115" s="20">
        <f t="shared" si="333"/>
        <v>-151053</v>
      </c>
      <c r="EJ115" s="20">
        <f t="shared" si="333"/>
        <v>-67479</v>
      </c>
      <c r="EK115" s="20">
        <f t="shared" si="333"/>
        <v>-75692</v>
      </c>
      <c r="EL115" s="20">
        <f t="shared" si="333"/>
        <v>-100131</v>
      </c>
    </row>
    <row r="116" spans="1:142" x14ac:dyDescent="0.3">
      <c r="B116" s="12"/>
      <c r="C116" s="119"/>
      <c r="D116" s="185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</row>
    <row r="117" spans="1:142" x14ac:dyDescent="0.3">
      <c r="B117" s="138" t="s">
        <v>584</v>
      </c>
      <c r="C117" s="117" t="s">
        <v>450</v>
      </c>
      <c r="D117" s="183" t="str">
        <f>IF(Menu!$D$12="PT",'Dados Financeiros'!B117,'Dados Financeiros'!C117)</f>
        <v>Participação de minoritários - DRE</v>
      </c>
      <c r="E117" s="4">
        <v>-274</v>
      </c>
      <c r="F117" s="4">
        <v>-434</v>
      </c>
      <c r="G117" s="4">
        <v>-750</v>
      </c>
      <c r="H117" s="4">
        <v>-451</v>
      </c>
      <c r="I117" s="4">
        <v>-835</v>
      </c>
      <c r="J117" s="4">
        <v>-1979</v>
      </c>
      <c r="K117" s="4">
        <v>-2574</v>
      </c>
      <c r="L117" s="4">
        <v>-3026</v>
      </c>
      <c r="M117" s="4">
        <v>-3526</v>
      </c>
      <c r="N117" s="4">
        <v>-5641</v>
      </c>
      <c r="O117" s="4">
        <v>-7583</v>
      </c>
      <c r="P117" s="4">
        <v>-5193</v>
      </c>
      <c r="Q117" s="4">
        <v>-7344</v>
      </c>
      <c r="R117" s="4">
        <v>-7405</v>
      </c>
      <c r="S117" s="4">
        <v>-5679</v>
      </c>
      <c r="T117" s="4">
        <v>-7653</v>
      </c>
      <c r="U117" s="4">
        <v>-9151</v>
      </c>
      <c r="V117" s="4">
        <v>-6323</v>
      </c>
      <c r="W117" s="4">
        <v>-4035</v>
      </c>
      <c r="X117" s="4">
        <v>-246</v>
      </c>
      <c r="Y117" s="4">
        <v>-4633</v>
      </c>
      <c r="Z117" s="4">
        <v>-4997</v>
      </c>
      <c r="AA117" s="4">
        <v>-1238</v>
      </c>
      <c r="AB117" s="4">
        <v>-1935</v>
      </c>
      <c r="AC117" s="4">
        <v>1017</v>
      </c>
      <c r="AD117" s="4">
        <v>631</v>
      </c>
      <c r="AE117" s="4">
        <v>2136</v>
      </c>
      <c r="AF117" s="4">
        <v>1788</v>
      </c>
      <c r="AG117" s="4">
        <v>-24171</v>
      </c>
      <c r="AH117" s="4">
        <v>-18759</v>
      </c>
      <c r="AI117" s="4">
        <v>-11573</v>
      </c>
      <c r="AJ117" s="4">
        <v>-9800</v>
      </c>
      <c r="AK117" s="4">
        <v>-8046</v>
      </c>
      <c r="AL117" s="4">
        <v>-18936</v>
      </c>
      <c r="AM117" s="4">
        <v>-15460</v>
      </c>
      <c r="AN117" s="4">
        <v>-13997</v>
      </c>
      <c r="AO117" s="4">
        <v>-18599</v>
      </c>
      <c r="AP117" s="4">
        <v>-22163</v>
      </c>
      <c r="AQ117" s="4">
        <v>-19148</v>
      </c>
      <c r="AR117" s="4">
        <v>4556</v>
      </c>
      <c r="AS117" s="4">
        <v>-1119</v>
      </c>
      <c r="AT117" s="4">
        <v>2777</v>
      </c>
      <c r="AU117" s="4">
        <v>3403</v>
      </c>
      <c r="AV117" s="4">
        <v>2401</v>
      </c>
      <c r="AW117" s="4">
        <v>958</v>
      </c>
      <c r="AX117" s="4">
        <v>3896</v>
      </c>
      <c r="AY117" s="4">
        <v>2569</v>
      </c>
      <c r="AZ117" s="4">
        <v>3519</v>
      </c>
      <c r="BA117" s="94">
        <v>1649</v>
      </c>
      <c r="BB117" s="4">
        <v>834</v>
      </c>
      <c r="BC117" s="4">
        <v>1748</v>
      </c>
      <c r="BD117" s="4">
        <v>2005</v>
      </c>
      <c r="BE117" s="4">
        <v>-474</v>
      </c>
      <c r="BF117" s="4">
        <v>612</v>
      </c>
      <c r="BG117" s="4">
        <v>2660</v>
      </c>
      <c r="BH117" s="4">
        <v>1657</v>
      </c>
      <c r="BI117" s="4">
        <v>528</v>
      </c>
      <c r="BJ117" s="4">
        <v>485</v>
      </c>
      <c r="BK117" s="4">
        <v>242</v>
      </c>
      <c r="BL117" s="4">
        <v>768</v>
      </c>
      <c r="BM117" s="4">
        <v>244</v>
      </c>
      <c r="BN117" s="4">
        <v>-319</v>
      </c>
      <c r="BO117" s="4">
        <v>495</v>
      </c>
      <c r="BP117" s="4">
        <v>496</v>
      </c>
      <c r="BQ117" s="4">
        <v>-78</v>
      </c>
      <c r="BR117" s="4">
        <v>183</v>
      </c>
      <c r="BS117" s="4">
        <v>-254</v>
      </c>
      <c r="BT117" s="4">
        <v>-1106</v>
      </c>
      <c r="BU117" s="4">
        <v>-522</v>
      </c>
      <c r="BV117" s="4">
        <v>-212</v>
      </c>
      <c r="BW117" s="4">
        <v>114</v>
      </c>
      <c r="BX117" s="4">
        <v>-281</v>
      </c>
      <c r="BY117" s="4">
        <v>108</v>
      </c>
      <c r="BZ117" s="4">
        <v>2165</v>
      </c>
      <c r="CA117" s="4">
        <v>-63</v>
      </c>
      <c r="CB117" s="4">
        <v>431</v>
      </c>
      <c r="CC117" s="4">
        <v>291</v>
      </c>
      <c r="CD117" s="4">
        <v>42</v>
      </c>
      <c r="CE117" s="4">
        <v>-1335</v>
      </c>
      <c r="CF117" s="4">
        <v>472</v>
      </c>
      <c r="CH117" s="94">
        <f t="shared" ref="CH117:CQ118" si="341">SUMIF($B$1:$CG$1,"&lt;="&amp;VALUE(RIGHT(CH$2,2)&amp;IF(LEFT(CH$2,2)="1S",2,IF(LEFT(CH$2,2)="9M",3,4))),$B117:$CG117)-
SUMIF($B$1:$CG$1,"&lt;"&amp;VALUE(RIGHT(CH$2,2))&amp;"0",$B117:$CG117)</f>
        <v>-708</v>
      </c>
      <c r="CI117" s="94">
        <f t="shared" si="341"/>
        <v>-1458</v>
      </c>
      <c r="CJ117" s="94">
        <f t="shared" si="341"/>
        <v>-1909</v>
      </c>
      <c r="CK117" s="94">
        <f t="shared" si="341"/>
        <v>-2814</v>
      </c>
      <c r="CL117" s="94">
        <f t="shared" si="341"/>
        <v>-5388</v>
      </c>
      <c r="CM117" s="94">
        <f t="shared" si="341"/>
        <v>-8414</v>
      </c>
      <c r="CN117" s="94">
        <f t="shared" si="341"/>
        <v>-9167</v>
      </c>
      <c r="CO117" s="94">
        <f t="shared" si="341"/>
        <v>-16750</v>
      </c>
      <c r="CP117" s="94">
        <f t="shared" si="341"/>
        <v>-21943</v>
      </c>
      <c r="CQ117" s="94">
        <f t="shared" si="341"/>
        <v>-14749</v>
      </c>
      <c r="CR117" s="94">
        <f t="shared" ref="CR117:DA118" si="342">SUMIF($B$1:$CG$1,"&lt;="&amp;VALUE(RIGHT(CR$2,2)&amp;IF(LEFT(CR$2,2)="1S",2,IF(LEFT(CR$2,2)="9M",3,4))),$B117:$CG117)-
SUMIF($B$1:$CG$1,"&lt;"&amp;VALUE(RIGHT(CR$2,2))&amp;"0",$B117:$CG117)</f>
        <v>-20428</v>
      </c>
      <c r="CS117" s="94">
        <f t="shared" si="342"/>
        <v>-28081</v>
      </c>
      <c r="CT117" s="94">
        <f t="shared" si="342"/>
        <v>-15474</v>
      </c>
      <c r="CU117" s="94">
        <f t="shared" si="342"/>
        <v>-19509</v>
      </c>
      <c r="CV117" s="94">
        <f t="shared" si="342"/>
        <v>-19755</v>
      </c>
      <c r="CW117" s="94">
        <f t="shared" si="342"/>
        <v>-6932</v>
      </c>
      <c r="CX117" s="94">
        <f t="shared" si="342"/>
        <v>-6301</v>
      </c>
      <c r="CY117" s="94">
        <f t="shared" si="342"/>
        <v>-4513</v>
      </c>
      <c r="CZ117" s="94">
        <f t="shared" si="342"/>
        <v>-42930</v>
      </c>
      <c r="DA117" s="94">
        <f t="shared" si="342"/>
        <v>-54503</v>
      </c>
      <c r="DB117" s="94">
        <f t="shared" ref="DB117:DK118" si="343">SUMIF($B$1:$CG$1,"&lt;="&amp;VALUE(RIGHT(DB$2,2)&amp;IF(LEFT(DB$2,2)="1S",2,IF(LEFT(DB$2,2)="9M",3,4))),$B117:$CG117)-
SUMIF($B$1:$CG$1,"&lt;"&amp;VALUE(RIGHT(DB$2,2))&amp;"0",$B117:$CG117)</f>
        <v>-64303</v>
      </c>
      <c r="DC117" s="94">
        <f t="shared" si="343"/>
        <v>-26982</v>
      </c>
      <c r="DD117" s="94">
        <f t="shared" si="343"/>
        <v>-42442</v>
      </c>
      <c r="DE117" s="94">
        <f t="shared" si="343"/>
        <v>-56439</v>
      </c>
      <c r="DF117" s="94">
        <f t="shared" si="343"/>
        <v>-40762</v>
      </c>
      <c r="DG117" s="94">
        <f t="shared" si="343"/>
        <v>-59910</v>
      </c>
      <c r="DH117" s="94">
        <f t="shared" si="343"/>
        <v>-55354</v>
      </c>
      <c r="DI117" s="94">
        <f t="shared" si="343"/>
        <v>1658</v>
      </c>
      <c r="DJ117" s="94">
        <f t="shared" si="343"/>
        <v>5061</v>
      </c>
      <c r="DK117" s="94">
        <f t="shared" si="343"/>
        <v>7462</v>
      </c>
      <c r="DL117" s="94">
        <f t="shared" ref="DL117:DU118" si="344">SUMIF($B$1:$CG$1,"&lt;="&amp;VALUE(RIGHT(DL$2,2)&amp;IF(LEFT(DL$2,2)="1S",2,IF(LEFT(DL$2,2)="9M",3,4))),$B117:$CG117)-
SUMIF($B$1:$CG$1,"&lt;"&amp;VALUE(RIGHT(DL$2,2))&amp;"0",$B117:$CG117)</f>
        <v>4854</v>
      </c>
      <c r="DM117" s="94">
        <f t="shared" si="344"/>
        <v>7423</v>
      </c>
      <c r="DN117" s="94">
        <f t="shared" si="344"/>
        <v>10942</v>
      </c>
      <c r="DO117" s="94">
        <f t="shared" si="344"/>
        <v>2483</v>
      </c>
      <c r="DP117" s="94">
        <f t="shared" si="344"/>
        <v>4231</v>
      </c>
      <c r="DQ117" s="94">
        <f t="shared" si="344"/>
        <v>6236</v>
      </c>
      <c r="DR117" s="94">
        <f t="shared" si="344"/>
        <v>138</v>
      </c>
      <c r="DS117" s="94">
        <f t="shared" si="344"/>
        <v>2798</v>
      </c>
      <c r="DT117" s="94">
        <f t="shared" si="344"/>
        <v>4455</v>
      </c>
      <c r="DU117" s="94">
        <f t="shared" si="344"/>
        <v>1013</v>
      </c>
      <c r="DV117" s="94">
        <f t="shared" ref="DV117:EE118" si="345">SUMIF($B$1:$CG$1,"&lt;="&amp;VALUE(RIGHT(DV$2,2)&amp;IF(LEFT(DV$2,2)="1S",2,IF(LEFT(DV$2,2)="9M",3,4))),$B117:$CG117)-
SUMIF($B$1:$CG$1,"&lt;"&amp;VALUE(RIGHT(DV$2,2))&amp;"0",$B117:$CG117)</f>
        <v>1255</v>
      </c>
      <c r="DW117" s="94">
        <f t="shared" si="345"/>
        <v>2023</v>
      </c>
      <c r="DX117" s="94">
        <f t="shared" si="345"/>
        <v>-75</v>
      </c>
      <c r="DY117" s="94">
        <f t="shared" si="345"/>
        <v>420</v>
      </c>
      <c r="DZ117" s="94">
        <f t="shared" si="345"/>
        <v>916</v>
      </c>
      <c r="EA117" s="94">
        <f t="shared" si="345"/>
        <v>105</v>
      </c>
      <c r="EB117" s="94">
        <f t="shared" si="345"/>
        <v>-149</v>
      </c>
      <c r="EC117" s="94">
        <f t="shared" si="345"/>
        <v>-1255</v>
      </c>
      <c r="ED117" s="94">
        <f t="shared" si="345"/>
        <v>-734</v>
      </c>
      <c r="EE117" s="94">
        <f t="shared" si="345"/>
        <v>-620</v>
      </c>
      <c r="EF117" s="94">
        <f t="shared" ref="EF117:EL118" si="346">SUMIF($B$1:$CG$1,"&lt;="&amp;VALUE(RIGHT(EF$2,2)&amp;IF(LEFT(EF$2,2)="1S",2,IF(LEFT(EF$2,2)="9M",3,4))),$B117:$CG117)-
SUMIF($B$1:$CG$1,"&lt;"&amp;VALUE(RIGHT(EF$2,2))&amp;"0",$B117:$CG117)</f>
        <v>-901</v>
      </c>
      <c r="EG117" s="94">
        <f t="shared" si="346"/>
        <v>2273</v>
      </c>
      <c r="EH117" s="94">
        <f t="shared" si="346"/>
        <v>2210</v>
      </c>
      <c r="EI117" s="94">
        <f t="shared" si="346"/>
        <v>2641</v>
      </c>
      <c r="EJ117" s="94">
        <f t="shared" si="346"/>
        <v>333</v>
      </c>
      <c r="EK117" s="94">
        <f t="shared" si="346"/>
        <v>-1002</v>
      </c>
      <c r="EL117" s="94">
        <f t="shared" si="346"/>
        <v>-530</v>
      </c>
    </row>
    <row r="118" spans="1:142" ht="14.4" thickBot="1" x14ac:dyDescent="0.35">
      <c r="B118" s="34" t="s">
        <v>39</v>
      </c>
      <c r="C118" s="34" t="s">
        <v>451</v>
      </c>
      <c r="D118" s="181" t="str">
        <f>IF(Menu!$D$12="PT",'Dados Financeiros'!B118,'Dados Financeiros'!C118)</f>
        <v>Lucro líquido do período</v>
      </c>
      <c r="E118" s="20">
        <f t="shared" ref="E118:AV118" si="347">E115+E117</f>
        <v>-21871</v>
      </c>
      <c r="F118" s="20">
        <f t="shared" si="347"/>
        <v>19471</v>
      </c>
      <c r="G118" s="20">
        <f t="shared" si="347"/>
        <v>22408</v>
      </c>
      <c r="H118" s="20">
        <f t="shared" si="347"/>
        <v>-2012</v>
      </c>
      <c r="I118" s="20">
        <f t="shared" si="347"/>
        <v>30115</v>
      </c>
      <c r="J118" s="20">
        <f t="shared" si="347"/>
        <v>21284</v>
      </c>
      <c r="K118" s="20">
        <f t="shared" si="347"/>
        <v>14826</v>
      </c>
      <c r="L118" s="20">
        <f t="shared" si="347"/>
        <v>9052</v>
      </c>
      <c r="M118" s="20">
        <f t="shared" si="347"/>
        <v>21469</v>
      </c>
      <c r="N118" s="20">
        <f t="shared" si="347"/>
        <v>30087</v>
      </c>
      <c r="O118" s="20">
        <f t="shared" si="347"/>
        <v>32600</v>
      </c>
      <c r="P118" s="20">
        <f t="shared" si="347"/>
        <v>26380</v>
      </c>
      <c r="Q118" s="20">
        <f t="shared" si="347"/>
        <v>40007</v>
      </c>
      <c r="R118" s="20">
        <f t="shared" si="347"/>
        <v>40410</v>
      </c>
      <c r="S118" s="20">
        <f t="shared" si="347"/>
        <v>53367</v>
      </c>
      <c r="T118" s="20">
        <f t="shared" si="347"/>
        <v>66264</v>
      </c>
      <c r="U118" s="20">
        <f t="shared" si="347"/>
        <v>60827</v>
      </c>
      <c r="V118" s="20">
        <f t="shared" si="347"/>
        <v>66975</v>
      </c>
      <c r="W118" s="20">
        <f t="shared" si="347"/>
        <v>48718</v>
      </c>
      <c r="X118" s="20">
        <f t="shared" si="347"/>
        <v>-32109</v>
      </c>
      <c r="Y118" s="20">
        <f t="shared" si="347"/>
        <v>-11333</v>
      </c>
      <c r="Z118" s="20">
        <f t="shared" si="347"/>
        <v>-11333</v>
      </c>
      <c r="AA118" s="20">
        <f t="shared" si="347"/>
        <v>2573</v>
      </c>
      <c r="AB118" s="20">
        <f t="shared" si="347"/>
        <v>2573</v>
      </c>
      <c r="AC118" s="20">
        <f t="shared" si="347"/>
        <v>-56455</v>
      </c>
      <c r="AD118" s="20">
        <f t="shared" si="347"/>
        <v>-56455</v>
      </c>
      <c r="AE118" s="20">
        <f t="shared" si="347"/>
        <v>-105733</v>
      </c>
      <c r="AF118" s="20">
        <f t="shared" si="347"/>
        <v>-105733</v>
      </c>
      <c r="AG118" s="20">
        <f t="shared" si="347"/>
        <v>42385</v>
      </c>
      <c r="AH118" s="20">
        <f t="shared" si="347"/>
        <v>73197</v>
      </c>
      <c r="AI118" s="20">
        <f t="shared" si="347"/>
        <v>62267</v>
      </c>
      <c r="AJ118" s="20">
        <f t="shared" si="347"/>
        <v>43297</v>
      </c>
      <c r="AK118" s="20">
        <f t="shared" si="347"/>
        <v>36076</v>
      </c>
      <c r="AL118" s="20">
        <f t="shared" si="347"/>
        <v>79714</v>
      </c>
      <c r="AM118" s="20">
        <f t="shared" si="347"/>
        <v>31866</v>
      </c>
      <c r="AN118" s="20">
        <f t="shared" si="347"/>
        <v>7695</v>
      </c>
      <c r="AO118" s="20">
        <f t="shared" si="347"/>
        <v>30038</v>
      </c>
      <c r="AP118" s="20">
        <f t="shared" si="347"/>
        <v>31336</v>
      </c>
      <c r="AQ118" s="20">
        <f t="shared" si="347"/>
        <v>7758</v>
      </c>
      <c r="AR118" s="20">
        <f t="shared" si="347"/>
        <v>168419</v>
      </c>
      <c r="AS118" s="20">
        <f t="shared" si="347"/>
        <v>2428</v>
      </c>
      <c r="AT118" s="20">
        <f t="shared" si="347"/>
        <v>-91811</v>
      </c>
      <c r="AU118" s="20">
        <f t="shared" si="347"/>
        <v>-108062</v>
      </c>
      <c r="AV118" s="20">
        <f t="shared" si="347"/>
        <v>-251536</v>
      </c>
      <c r="AW118" s="20">
        <f t="shared" ref="AW118:AX118" si="348">AW115+AW117</f>
        <v>-63433</v>
      </c>
      <c r="AX118" s="20">
        <f t="shared" si="348"/>
        <v>-139991</v>
      </c>
      <c r="AY118" s="20">
        <f t="shared" ref="AY118:BC118" si="349">AY115+AY117</f>
        <v>-142019</v>
      </c>
      <c r="AZ118" s="20">
        <f t="shared" ref="AZ118:BB118" si="350">AZ115+AZ117</f>
        <v>-175209</v>
      </c>
      <c r="BA118" s="20">
        <f t="shared" si="350"/>
        <v>-53672</v>
      </c>
      <c r="BB118" s="20">
        <f t="shared" si="350"/>
        <v>-85826</v>
      </c>
      <c r="BC118" s="20">
        <f t="shared" si="349"/>
        <v>-73367</v>
      </c>
      <c r="BD118" s="20">
        <f t="shared" ref="BD118:BE118" si="351">BD115+BD117</f>
        <v>-64187</v>
      </c>
      <c r="BE118" s="20">
        <f t="shared" si="351"/>
        <v>-2098</v>
      </c>
      <c r="BF118" s="20">
        <f t="shared" ref="BF118:BG118" si="352">BF115+BF117</f>
        <v>-144140</v>
      </c>
      <c r="BG118" s="20">
        <f t="shared" si="352"/>
        <v>-52054</v>
      </c>
      <c r="BH118" s="20">
        <f t="shared" ref="BH118:BM118" si="353">BH115+BH117</f>
        <v>-59627</v>
      </c>
      <c r="BI118" s="20">
        <f t="shared" si="353"/>
        <v>-58420</v>
      </c>
      <c r="BJ118" s="20">
        <f t="shared" si="353"/>
        <v>-40340</v>
      </c>
      <c r="BK118" s="20">
        <f t="shared" si="353"/>
        <v>-35393</v>
      </c>
      <c r="BL118" s="20">
        <f t="shared" si="353"/>
        <v>-30699</v>
      </c>
      <c r="BM118" s="20">
        <f t="shared" si="353"/>
        <v>-26367</v>
      </c>
      <c r="BN118" s="20">
        <f>BN115+BN117</f>
        <v>-54388</v>
      </c>
      <c r="BO118" s="20">
        <v>-45006.5</v>
      </c>
      <c r="BP118" s="20">
        <f>BP115+BP117</f>
        <v>-58963.49</v>
      </c>
      <c r="BQ118" s="20">
        <v>-7051</v>
      </c>
      <c r="BR118" s="20">
        <f>BR115+BR117</f>
        <v>-9346</v>
      </c>
      <c r="BS118" s="20">
        <v>1656</v>
      </c>
      <c r="BT118" s="20">
        <v>15786</v>
      </c>
      <c r="BU118" s="20">
        <v>4146</v>
      </c>
      <c r="BV118" s="20">
        <v>4577</v>
      </c>
      <c r="BW118" s="20">
        <v>-7987</v>
      </c>
      <c r="BX118" s="20">
        <v>-56904</v>
      </c>
      <c r="BY118" s="20">
        <v>-20670</v>
      </c>
      <c r="BZ118" s="20">
        <v>-31308</v>
      </c>
      <c r="CA118" s="20">
        <v>-42940</v>
      </c>
      <c r="CB118" s="20">
        <f>+CB115+CB117</f>
        <v>-53493.999999999985</v>
      </c>
      <c r="CC118" s="20">
        <f>+CC115+CC117</f>
        <v>-7784</v>
      </c>
      <c r="CD118" s="20">
        <f>+CD115+CD117</f>
        <v>-59362</v>
      </c>
      <c r="CE118" s="20">
        <f>+CE115+CE117</f>
        <v>-9548</v>
      </c>
      <c r="CF118" s="20">
        <f>+CF115+CF117</f>
        <v>-23967</v>
      </c>
      <c r="CH118" s="20">
        <f t="shared" si="341"/>
        <v>-2400</v>
      </c>
      <c r="CI118" s="20">
        <f t="shared" si="341"/>
        <v>20008</v>
      </c>
      <c r="CJ118" s="20">
        <f t="shared" si="341"/>
        <v>17996</v>
      </c>
      <c r="CK118" s="20">
        <f t="shared" si="341"/>
        <v>51399</v>
      </c>
      <c r="CL118" s="20">
        <f t="shared" si="341"/>
        <v>66225</v>
      </c>
      <c r="CM118" s="20">
        <f t="shared" si="341"/>
        <v>75277</v>
      </c>
      <c r="CN118" s="20">
        <f t="shared" si="341"/>
        <v>51556</v>
      </c>
      <c r="CO118" s="20">
        <f t="shared" si="341"/>
        <v>84156</v>
      </c>
      <c r="CP118" s="20">
        <f t="shared" si="341"/>
        <v>110536</v>
      </c>
      <c r="CQ118" s="20">
        <f t="shared" si="341"/>
        <v>80417</v>
      </c>
      <c r="CR118" s="20">
        <f t="shared" si="342"/>
        <v>133784</v>
      </c>
      <c r="CS118" s="20">
        <f t="shared" si="342"/>
        <v>200048</v>
      </c>
      <c r="CT118" s="20">
        <f t="shared" si="342"/>
        <v>127802</v>
      </c>
      <c r="CU118" s="20">
        <f t="shared" si="342"/>
        <v>176520</v>
      </c>
      <c r="CV118" s="20">
        <f t="shared" si="342"/>
        <v>144411</v>
      </c>
      <c r="CW118" s="20">
        <f t="shared" si="342"/>
        <v>-8760</v>
      </c>
      <c r="CX118" s="20">
        <f t="shared" si="342"/>
        <v>-65215</v>
      </c>
      <c r="CY118" s="20">
        <f t="shared" si="342"/>
        <v>-170948</v>
      </c>
      <c r="CZ118" s="20">
        <f t="shared" si="342"/>
        <v>115582</v>
      </c>
      <c r="DA118" s="20">
        <f t="shared" si="342"/>
        <v>177849</v>
      </c>
      <c r="DB118" s="20">
        <f t="shared" si="343"/>
        <v>221146</v>
      </c>
      <c r="DC118" s="20">
        <f t="shared" si="343"/>
        <v>115790</v>
      </c>
      <c r="DD118" s="20">
        <f t="shared" si="343"/>
        <v>147656</v>
      </c>
      <c r="DE118" s="20">
        <f t="shared" si="343"/>
        <v>155351</v>
      </c>
      <c r="DF118" s="20">
        <f t="shared" si="343"/>
        <v>61374</v>
      </c>
      <c r="DG118" s="20">
        <f t="shared" si="343"/>
        <v>69132</v>
      </c>
      <c r="DH118" s="20">
        <f t="shared" si="343"/>
        <v>237551</v>
      </c>
      <c r="DI118" s="20">
        <f t="shared" si="343"/>
        <v>-89383</v>
      </c>
      <c r="DJ118" s="20">
        <f t="shared" si="343"/>
        <v>-197445</v>
      </c>
      <c r="DK118" s="20">
        <f t="shared" si="343"/>
        <v>-448981</v>
      </c>
      <c r="DL118" s="20">
        <f t="shared" si="344"/>
        <v>-203424</v>
      </c>
      <c r="DM118" s="20">
        <f t="shared" si="344"/>
        <v>-345443</v>
      </c>
      <c r="DN118" s="20">
        <f t="shared" si="344"/>
        <v>-520652</v>
      </c>
      <c r="DO118" s="20">
        <f t="shared" si="344"/>
        <v>-139498</v>
      </c>
      <c r="DP118" s="20">
        <f t="shared" si="344"/>
        <v>-212865</v>
      </c>
      <c r="DQ118" s="20">
        <f t="shared" si="344"/>
        <v>-277052</v>
      </c>
      <c r="DR118" s="20">
        <f t="shared" si="344"/>
        <v>-146238</v>
      </c>
      <c r="DS118" s="20">
        <f t="shared" si="344"/>
        <v>-198292</v>
      </c>
      <c r="DT118" s="20">
        <f t="shared" si="344"/>
        <v>-257919</v>
      </c>
      <c r="DU118" s="20">
        <f t="shared" si="344"/>
        <v>-98760</v>
      </c>
      <c r="DV118" s="20">
        <f t="shared" si="345"/>
        <v>-134153</v>
      </c>
      <c r="DW118" s="20">
        <f t="shared" si="345"/>
        <v>-164852</v>
      </c>
      <c r="DX118" s="20">
        <f t="shared" si="345"/>
        <v>-80755</v>
      </c>
      <c r="DY118" s="20">
        <f t="shared" si="345"/>
        <v>-125761.5</v>
      </c>
      <c r="DZ118" s="20">
        <f t="shared" si="345"/>
        <v>-184724.99</v>
      </c>
      <c r="EA118" s="20">
        <f t="shared" si="345"/>
        <v>-16397</v>
      </c>
      <c r="EB118" s="20">
        <f t="shared" si="345"/>
        <v>-14741</v>
      </c>
      <c r="EC118" s="20">
        <f t="shared" si="345"/>
        <v>1045</v>
      </c>
      <c r="ED118" s="20">
        <f t="shared" si="345"/>
        <v>8723</v>
      </c>
      <c r="EE118" s="20">
        <f t="shared" si="345"/>
        <v>736</v>
      </c>
      <c r="EF118" s="20">
        <f t="shared" si="346"/>
        <v>-56168</v>
      </c>
      <c r="EG118" s="20">
        <f t="shared" si="346"/>
        <v>-51978</v>
      </c>
      <c r="EH118" s="20">
        <f t="shared" si="346"/>
        <v>-94918</v>
      </c>
      <c r="EI118" s="20">
        <f t="shared" si="346"/>
        <v>-148412</v>
      </c>
      <c r="EJ118" s="20">
        <f t="shared" si="346"/>
        <v>-67146</v>
      </c>
      <c r="EK118" s="20">
        <f t="shared" si="346"/>
        <v>-76694</v>
      </c>
      <c r="EL118" s="20">
        <f t="shared" si="346"/>
        <v>-100661</v>
      </c>
    </row>
    <row r="119" spans="1:142" x14ac:dyDescent="0.3">
      <c r="B119" s="30"/>
      <c r="C119" s="30"/>
      <c r="D119" s="196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108"/>
      <c r="AK119" s="108"/>
      <c r="AL119" s="42"/>
      <c r="AM119" s="42"/>
      <c r="AN119" s="42"/>
      <c r="AO119" s="42"/>
      <c r="AP119" s="42"/>
      <c r="AQ119" s="109"/>
      <c r="AR119" s="109"/>
      <c r="AS119" s="109"/>
      <c r="AT119" s="109"/>
      <c r="AU119" s="109"/>
      <c r="AV119" s="109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</row>
    <row r="120" spans="1:142" x14ac:dyDescent="0.3">
      <c r="D120" s="197"/>
      <c r="T120" s="42"/>
      <c r="X120" s="42"/>
      <c r="AF120" s="42"/>
      <c r="AJ120" s="108"/>
      <c r="AK120" s="10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</row>
    <row r="121" spans="1:142" s="26" customFormat="1" ht="16.2" thickBot="1" x14ac:dyDescent="0.35">
      <c r="A121" s="85"/>
      <c r="B121" s="154" t="s">
        <v>34</v>
      </c>
      <c r="C121" s="154" t="s">
        <v>452</v>
      </c>
      <c r="D121" s="155" t="str">
        <f>IF(Menu!$D$12="PT",'Dados Financeiros'!B121,'Dados Financeiros'!C121)</f>
        <v>Fluxo de Caixa</v>
      </c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/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  <c r="BI121" s="155"/>
      <c r="BJ121" s="155"/>
      <c r="BK121" s="155"/>
      <c r="BL121" s="155"/>
      <c r="BM121" s="155"/>
      <c r="BN121" s="155"/>
      <c r="BO121" s="155"/>
      <c r="BP121" s="155"/>
      <c r="BQ121" s="155"/>
      <c r="BR121" s="155"/>
      <c r="BS121" s="155"/>
      <c r="BT121" s="155"/>
      <c r="BU121" s="155"/>
      <c r="BV121" s="155"/>
      <c r="BW121" s="155"/>
      <c r="BX121" s="155"/>
      <c r="BY121" s="155"/>
      <c r="BZ121" s="155"/>
      <c r="CA121" s="155"/>
      <c r="CB121" s="155"/>
      <c r="CC121" s="155"/>
      <c r="CD121" s="155"/>
      <c r="CE121" s="155"/>
      <c r="CF121" s="155"/>
      <c r="CH121" s="155"/>
      <c r="CI121" s="155"/>
      <c r="CJ121" s="155"/>
      <c r="CK121" s="155"/>
      <c r="CL121" s="155"/>
      <c r="CM121" s="155"/>
      <c r="CN121" s="155"/>
      <c r="CO121" s="155"/>
      <c r="CP121" s="155"/>
      <c r="CQ121" s="155"/>
      <c r="CR121" s="155"/>
      <c r="CS121" s="155"/>
      <c r="CT121" s="155"/>
      <c r="CU121" s="155"/>
      <c r="CV121" s="155"/>
      <c r="CW121" s="155"/>
      <c r="CX121" s="155"/>
      <c r="CY121" s="155"/>
      <c r="CZ121" s="155"/>
      <c r="DA121" s="155"/>
      <c r="DB121" s="155"/>
      <c r="DC121" s="155"/>
      <c r="DD121" s="155"/>
      <c r="DE121" s="155"/>
      <c r="DF121" s="155"/>
      <c r="DG121" s="155"/>
      <c r="DH121" s="155"/>
      <c r="DI121" s="155"/>
      <c r="DJ121" s="155"/>
      <c r="DK121" s="155"/>
      <c r="DL121" s="155"/>
      <c r="DM121" s="155"/>
      <c r="DN121" s="155"/>
      <c r="DO121" s="155"/>
      <c r="DP121" s="155"/>
      <c r="DQ121" s="155"/>
      <c r="DR121" s="155"/>
      <c r="DS121" s="155"/>
      <c r="DT121" s="155"/>
      <c r="DU121" s="155"/>
      <c r="DV121" s="155"/>
      <c r="DW121" s="155"/>
      <c r="DX121" s="155"/>
      <c r="DY121" s="155"/>
      <c r="DZ121" s="155"/>
      <c r="EA121" s="155"/>
      <c r="EB121" s="155"/>
      <c r="EC121" s="155"/>
      <c r="ED121" s="155"/>
      <c r="EE121" s="155"/>
      <c r="EF121" s="155"/>
      <c r="EG121" s="155"/>
      <c r="EH121" s="155"/>
      <c r="EI121" s="155"/>
      <c r="EJ121" s="155"/>
      <c r="EK121" s="155"/>
      <c r="EL121" s="155"/>
    </row>
    <row r="122" spans="1:142" x14ac:dyDescent="0.3">
      <c r="C122" s="128"/>
      <c r="D122" s="197"/>
    </row>
    <row r="123" spans="1:142" ht="14.4" thickBot="1" x14ac:dyDescent="0.35">
      <c r="B123" s="8" t="s">
        <v>33</v>
      </c>
      <c r="C123" s="8" t="s">
        <v>453</v>
      </c>
      <c r="D123" s="198" t="str">
        <f>IF(Menu!$D$12="PT",'Dados Financeiros'!B123,'Dados Financeiros'!C123)</f>
        <v>Fluxo de caixa das atividades operacionais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</row>
    <row r="124" spans="1:142" x14ac:dyDescent="0.3">
      <c r="B124" s="25"/>
      <c r="C124" s="25"/>
      <c r="D124" s="185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</row>
    <row r="125" spans="1:142" ht="14.4" thickBot="1" x14ac:dyDescent="0.35">
      <c r="B125" s="21" t="s">
        <v>32</v>
      </c>
      <c r="C125" s="21" t="s">
        <v>454</v>
      </c>
      <c r="D125" s="181" t="str">
        <f>IF(Menu!$D$12="PT",'Dados Financeiros'!B125,'Dados Financeiros'!C125)</f>
        <v>Lucro (Prejuízo) líquido do período</v>
      </c>
      <c r="E125" s="20">
        <f t="shared" ref="E125:AJ125" si="354">E118</f>
        <v>-21871</v>
      </c>
      <c r="F125" s="20">
        <f t="shared" si="354"/>
        <v>19471</v>
      </c>
      <c r="G125" s="20">
        <f t="shared" si="354"/>
        <v>22408</v>
      </c>
      <c r="H125" s="20">
        <f t="shared" si="354"/>
        <v>-2012</v>
      </c>
      <c r="I125" s="20">
        <f t="shared" si="354"/>
        <v>30115</v>
      </c>
      <c r="J125" s="20">
        <f t="shared" si="354"/>
        <v>21284</v>
      </c>
      <c r="K125" s="20">
        <f t="shared" si="354"/>
        <v>14826</v>
      </c>
      <c r="L125" s="20">
        <f t="shared" si="354"/>
        <v>9052</v>
      </c>
      <c r="M125" s="20">
        <f t="shared" si="354"/>
        <v>21469</v>
      </c>
      <c r="N125" s="20">
        <f t="shared" si="354"/>
        <v>30087</v>
      </c>
      <c r="O125" s="20">
        <f t="shared" si="354"/>
        <v>32600</v>
      </c>
      <c r="P125" s="20">
        <f t="shared" si="354"/>
        <v>26380</v>
      </c>
      <c r="Q125" s="20">
        <f t="shared" si="354"/>
        <v>40007</v>
      </c>
      <c r="R125" s="20">
        <f t="shared" si="354"/>
        <v>40410</v>
      </c>
      <c r="S125" s="20">
        <f t="shared" si="354"/>
        <v>53367</v>
      </c>
      <c r="T125" s="20">
        <f t="shared" si="354"/>
        <v>66264</v>
      </c>
      <c r="U125" s="20">
        <f t="shared" si="354"/>
        <v>60827</v>
      </c>
      <c r="V125" s="20">
        <f t="shared" si="354"/>
        <v>66975</v>
      </c>
      <c r="W125" s="20">
        <f t="shared" si="354"/>
        <v>48718</v>
      </c>
      <c r="X125" s="20">
        <f t="shared" si="354"/>
        <v>-32109</v>
      </c>
      <c r="Y125" s="20">
        <f t="shared" si="354"/>
        <v>-11333</v>
      </c>
      <c r="Z125" s="20">
        <f t="shared" si="354"/>
        <v>-11333</v>
      </c>
      <c r="AA125" s="20">
        <f t="shared" si="354"/>
        <v>2573</v>
      </c>
      <c r="AB125" s="20">
        <f t="shared" si="354"/>
        <v>2573</v>
      </c>
      <c r="AC125" s="20">
        <f t="shared" si="354"/>
        <v>-56455</v>
      </c>
      <c r="AD125" s="20">
        <f t="shared" si="354"/>
        <v>-56455</v>
      </c>
      <c r="AE125" s="20">
        <f t="shared" si="354"/>
        <v>-105733</v>
      </c>
      <c r="AF125" s="20">
        <f t="shared" si="354"/>
        <v>-105733</v>
      </c>
      <c r="AG125" s="20">
        <f t="shared" si="354"/>
        <v>42385</v>
      </c>
      <c r="AH125" s="20">
        <f t="shared" si="354"/>
        <v>73197</v>
      </c>
      <c r="AI125" s="20">
        <f t="shared" si="354"/>
        <v>62267</v>
      </c>
      <c r="AJ125" s="20">
        <f t="shared" si="354"/>
        <v>43297</v>
      </c>
      <c r="AK125" s="20">
        <f t="shared" ref="AK125:BE125" si="355">AK118</f>
        <v>36076</v>
      </c>
      <c r="AL125" s="20">
        <f t="shared" si="355"/>
        <v>79714</v>
      </c>
      <c r="AM125" s="20">
        <f t="shared" si="355"/>
        <v>31866</v>
      </c>
      <c r="AN125" s="20">
        <f t="shared" si="355"/>
        <v>7695</v>
      </c>
      <c r="AO125" s="20">
        <f t="shared" si="355"/>
        <v>30038</v>
      </c>
      <c r="AP125" s="20">
        <f t="shared" si="355"/>
        <v>31336</v>
      </c>
      <c r="AQ125" s="20">
        <f t="shared" si="355"/>
        <v>7758</v>
      </c>
      <c r="AR125" s="20">
        <f t="shared" si="355"/>
        <v>168419</v>
      </c>
      <c r="AS125" s="20">
        <f t="shared" si="355"/>
        <v>2428</v>
      </c>
      <c r="AT125" s="20">
        <f t="shared" si="355"/>
        <v>-91811</v>
      </c>
      <c r="AU125" s="20">
        <f t="shared" si="355"/>
        <v>-108062</v>
      </c>
      <c r="AV125" s="20">
        <f t="shared" si="355"/>
        <v>-251536</v>
      </c>
      <c r="AW125" s="20">
        <f t="shared" si="355"/>
        <v>-63433</v>
      </c>
      <c r="AX125" s="20">
        <f t="shared" si="355"/>
        <v>-139991</v>
      </c>
      <c r="AY125" s="20">
        <f t="shared" si="355"/>
        <v>-142019</v>
      </c>
      <c r="AZ125" s="20">
        <f t="shared" si="355"/>
        <v>-175209</v>
      </c>
      <c r="BA125" s="20">
        <f t="shared" si="355"/>
        <v>-53672</v>
      </c>
      <c r="BB125" s="20">
        <f t="shared" si="355"/>
        <v>-85826</v>
      </c>
      <c r="BC125" s="20">
        <f t="shared" si="355"/>
        <v>-73367</v>
      </c>
      <c r="BD125" s="20">
        <f t="shared" si="355"/>
        <v>-64187</v>
      </c>
      <c r="BE125" s="20">
        <f t="shared" si="355"/>
        <v>-2098</v>
      </c>
      <c r="BF125" s="20">
        <f t="shared" ref="BF125:BG125" si="356">BF118</f>
        <v>-144140</v>
      </c>
      <c r="BG125" s="20">
        <f t="shared" si="356"/>
        <v>-52054</v>
      </c>
      <c r="BH125" s="20">
        <f t="shared" ref="BH125:BM125" si="357">BH118</f>
        <v>-59627</v>
      </c>
      <c r="BI125" s="20">
        <f t="shared" si="357"/>
        <v>-58420</v>
      </c>
      <c r="BJ125" s="20">
        <f t="shared" si="357"/>
        <v>-40340</v>
      </c>
      <c r="BK125" s="20">
        <f t="shared" si="357"/>
        <v>-35393</v>
      </c>
      <c r="BL125" s="20">
        <f t="shared" si="357"/>
        <v>-30699</v>
      </c>
      <c r="BM125" s="20">
        <f t="shared" si="357"/>
        <v>-26367</v>
      </c>
      <c r="BN125" s="20">
        <f t="shared" ref="BN125" si="358">BN118</f>
        <v>-54388</v>
      </c>
      <c r="BO125" s="20">
        <v>-45006.5</v>
      </c>
      <c r="BP125" s="20">
        <v>-58963.49</v>
      </c>
      <c r="BQ125" s="20">
        <v>-7051</v>
      </c>
      <c r="BR125" s="20">
        <f>BR118</f>
        <v>-9346</v>
      </c>
      <c r="BS125" s="20">
        <f>BS118</f>
        <v>1656</v>
      </c>
      <c r="BT125" s="20">
        <f t="shared" ref="BT125:BU125" si="359">BT118</f>
        <v>15786</v>
      </c>
      <c r="BU125" s="20">
        <f t="shared" si="359"/>
        <v>4146</v>
      </c>
      <c r="BV125" s="20">
        <v>4577</v>
      </c>
      <c r="BW125" s="20">
        <v>-7987</v>
      </c>
      <c r="BX125" s="20">
        <v>-56904</v>
      </c>
      <c r="BY125" s="20">
        <v>-20670</v>
      </c>
      <c r="BZ125" s="20">
        <v>-31308</v>
      </c>
      <c r="CA125" s="20">
        <v>-42940</v>
      </c>
      <c r="CB125" s="20">
        <f>+CB118</f>
        <v>-53493.999999999985</v>
      </c>
      <c r="CC125" s="20">
        <f>+CC118</f>
        <v>-7784</v>
      </c>
      <c r="CD125" s="20">
        <f>+CD118</f>
        <v>-59362</v>
      </c>
      <c r="CE125" s="20">
        <f>+CE118</f>
        <v>-9548</v>
      </c>
      <c r="CF125" s="20">
        <f>+CF118</f>
        <v>-23967</v>
      </c>
      <c r="CH125" s="20">
        <f>CH118</f>
        <v>-2400</v>
      </c>
      <c r="CI125" s="20">
        <f t="shared" ref="CI125:DR125" si="360">CI118</f>
        <v>20008</v>
      </c>
      <c r="CJ125" s="20">
        <f t="shared" si="360"/>
        <v>17996</v>
      </c>
      <c r="CK125" s="20">
        <f t="shared" si="360"/>
        <v>51399</v>
      </c>
      <c r="CL125" s="20">
        <f t="shared" si="360"/>
        <v>66225</v>
      </c>
      <c r="CM125" s="20">
        <f t="shared" si="360"/>
        <v>75277</v>
      </c>
      <c r="CN125" s="20">
        <f t="shared" si="360"/>
        <v>51556</v>
      </c>
      <c r="CO125" s="20">
        <f t="shared" si="360"/>
        <v>84156</v>
      </c>
      <c r="CP125" s="20">
        <f t="shared" si="360"/>
        <v>110536</v>
      </c>
      <c r="CQ125" s="20">
        <f t="shared" si="360"/>
        <v>80417</v>
      </c>
      <c r="CR125" s="20">
        <f t="shared" si="360"/>
        <v>133784</v>
      </c>
      <c r="CS125" s="20">
        <f t="shared" si="360"/>
        <v>200048</v>
      </c>
      <c r="CT125" s="20">
        <f t="shared" si="360"/>
        <v>127802</v>
      </c>
      <c r="CU125" s="20">
        <f t="shared" si="360"/>
        <v>176520</v>
      </c>
      <c r="CV125" s="20">
        <f t="shared" si="360"/>
        <v>144411</v>
      </c>
      <c r="CW125" s="20">
        <f t="shared" si="360"/>
        <v>-8760</v>
      </c>
      <c r="CX125" s="20">
        <f t="shared" si="360"/>
        <v>-65215</v>
      </c>
      <c r="CY125" s="20">
        <f t="shared" si="360"/>
        <v>-170948</v>
      </c>
      <c r="CZ125" s="20">
        <f t="shared" si="360"/>
        <v>115582</v>
      </c>
      <c r="DA125" s="20">
        <f t="shared" si="360"/>
        <v>177849</v>
      </c>
      <c r="DB125" s="20">
        <f t="shared" si="360"/>
        <v>221146</v>
      </c>
      <c r="DC125" s="20">
        <f t="shared" si="360"/>
        <v>115790</v>
      </c>
      <c r="DD125" s="20">
        <f t="shared" si="360"/>
        <v>147656</v>
      </c>
      <c r="DE125" s="20">
        <f t="shared" si="360"/>
        <v>155351</v>
      </c>
      <c r="DF125" s="20">
        <f t="shared" si="360"/>
        <v>61374</v>
      </c>
      <c r="DG125" s="20">
        <f t="shared" si="360"/>
        <v>69132</v>
      </c>
      <c r="DH125" s="20">
        <f t="shared" si="360"/>
        <v>237551</v>
      </c>
      <c r="DI125" s="20">
        <f t="shared" si="360"/>
        <v>-89383</v>
      </c>
      <c r="DJ125" s="20">
        <f t="shared" si="360"/>
        <v>-197445</v>
      </c>
      <c r="DK125" s="20">
        <f t="shared" si="360"/>
        <v>-448981</v>
      </c>
      <c r="DL125" s="20">
        <f t="shared" si="360"/>
        <v>-203424</v>
      </c>
      <c r="DM125" s="20">
        <f t="shared" si="360"/>
        <v>-345443</v>
      </c>
      <c r="DN125" s="20">
        <f t="shared" si="360"/>
        <v>-520652</v>
      </c>
      <c r="DO125" s="20">
        <f t="shared" si="360"/>
        <v>-139498</v>
      </c>
      <c r="DP125" s="20">
        <f t="shared" si="360"/>
        <v>-212865</v>
      </c>
      <c r="DQ125" s="20">
        <f t="shared" si="360"/>
        <v>-277052</v>
      </c>
      <c r="DR125" s="20">
        <f t="shared" si="360"/>
        <v>-146238</v>
      </c>
      <c r="DS125" s="20">
        <f t="shared" ref="DS125:DU125" si="361">DS118</f>
        <v>-198292</v>
      </c>
      <c r="DT125" s="20">
        <f t="shared" si="361"/>
        <v>-257919</v>
      </c>
      <c r="DU125" s="20">
        <f t="shared" si="361"/>
        <v>-98760</v>
      </c>
      <c r="DV125" s="20">
        <f t="shared" ref="DV125:DX125" si="362">DV118</f>
        <v>-134153</v>
      </c>
      <c r="DW125" s="20">
        <f t="shared" si="362"/>
        <v>-164852</v>
      </c>
      <c r="DX125" s="20">
        <f t="shared" si="362"/>
        <v>-80755</v>
      </c>
      <c r="DY125" s="20">
        <f t="shared" ref="DY125:EB125" si="363">DY118</f>
        <v>-125761.5</v>
      </c>
      <c r="DZ125" s="20">
        <f t="shared" si="363"/>
        <v>-184724.99</v>
      </c>
      <c r="EA125" s="20">
        <f t="shared" si="363"/>
        <v>-16397</v>
      </c>
      <c r="EB125" s="20">
        <f t="shared" si="363"/>
        <v>-14741</v>
      </c>
      <c r="EC125" s="20">
        <f t="shared" ref="EC125:EF125" si="364">EC118</f>
        <v>1045</v>
      </c>
      <c r="ED125" s="20">
        <f t="shared" si="364"/>
        <v>8723</v>
      </c>
      <c r="EE125" s="20">
        <f t="shared" si="364"/>
        <v>736</v>
      </c>
      <c r="EF125" s="20">
        <f t="shared" si="364"/>
        <v>-56168</v>
      </c>
      <c r="EG125" s="20">
        <f t="shared" ref="EG125:EH125" si="365">EG118</f>
        <v>-51978</v>
      </c>
      <c r="EH125" s="20">
        <f t="shared" si="365"/>
        <v>-94918</v>
      </c>
      <c r="EI125" s="20">
        <f t="shared" ref="EI125:EK125" si="366">EI118</f>
        <v>-148412</v>
      </c>
      <c r="EJ125" s="20">
        <f t="shared" si="366"/>
        <v>-67146</v>
      </c>
      <c r="EK125" s="20">
        <f t="shared" si="366"/>
        <v>-76694</v>
      </c>
      <c r="EL125" s="20">
        <f t="shared" ref="EL125" si="367">EL118</f>
        <v>-100661</v>
      </c>
    </row>
    <row r="126" spans="1:142" x14ac:dyDescent="0.3">
      <c r="B126" s="24"/>
      <c r="C126" s="24"/>
      <c r="D126" s="199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</row>
    <row r="127" spans="1:142" ht="14.4" thickBot="1" x14ac:dyDescent="0.35">
      <c r="B127" s="21" t="s">
        <v>343</v>
      </c>
      <c r="C127" s="21" t="s">
        <v>445</v>
      </c>
      <c r="D127" s="181" t="str">
        <f>IF(Menu!$D$12="PT",'Dados Financeiros'!B127,'Dados Financeiros'!C127)</f>
        <v>Lucro antes do imposto de renda e contribuição social</v>
      </c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>
        <f t="shared" ref="AK127:BE127" si="368">AK110</f>
        <v>52666</v>
      </c>
      <c r="AL127" s="20">
        <f t="shared" si="368"/>
        <v>107313</v>
      </c>
      <c r="AM127" s="20">
        <f t="shared" si="368"/>
        <v>55837</v>
      </c>
      <c r="AN127" s="20">
        <f t="shared" si="368"/>
        <v>28496</v>
      </c>
      <c r="AO127" s="20">
        <f t="shared" si="368"/>
        <v>57035</v>
      </c>
      <c r="AP127" s="20">
        <f t="shared" si="368"/>
        <v>61839</v>
      </c>
      <c r="AQ127" s="20">
        <f t="shared" si="368"/>
        <v>34428</v>
      </c>
      <c r="AR127" s="20">
        <f t="shared" si="368"/>
        <v>168846</v>
      </c>
      <c r="AS127" s="20">
        <f t="shared" si="368"/>
        <v>6873</v>
      </c>
      <c r="AT127" s="20">
        <f t="shared" si="368"/>
        <v>-92617</v>
      </c>
      <c r="AU127" s="20">
        <f t="shared" si="368"/>
        <v>-111397</v>
      </c>
      <c r="AV127" s="20">
        <f t="shared" si="368"/>
        <v>-253261</v>
      </c>
      <c r="AW127" s="20">
        <f t="shared" si="368"/>
        <v>-62077</v>
      </c>
      <c r="AX127" s="20">
        <f t="shared" si="368"/>
        <v>-141854</v>
      </c>
      <c r="AY127" s="20">
        <f t="shared" si="368"/>
        <v>-144031</v>
      </c>
      <c r="AZ127" s="20">
        <f t="shared" si="368"/>
        <v>-178120</v>
      </c>
      <c r="BA127" s="20">
        <f t="shared" si="368"/>
        <v>-51797</v>
      </c>
      <c r="BB127" s="20">
        <f t="shared" si="368"/>
        <v>-85378</v>
      </c>
      <c r="BC127" s="20">
        <f t="shared" si="368"/>
        <v>-75671</v>
      </c>
      <c r="BD127" s="20">
        <f t="shared" si="368"/>
        <v>-65204</v>
      </c>
      <c r="BE127" s="20">
        <f t="shared" si="368"/>
        <v>-302</v>
      </c>
      <c r="BF127" s="20">
        <f t="shared" ref="BF127:BG127" si="369">BF110</f>
        <v>-143848</v>
      </c>
      <c r="BG127" s="20">
        <f t="shared" si="369"/>
        <v>-53381</v>
      </c>
      <c r="BH127" s="20">
        <f t="shared" ref="BH127:BM127" si="370">BH110</f>
        <v>-59180</v>
      </c>
      <c r="BI127" s="20">
        <f t="shared" si="370"/>
        <v>-58103</v>
      </c>
      <c r="BJ127" s="20">
        <f t="shared" si="370"/>
        <v>-39415</v>
      </c>
      <c r="BK127" s="20">
        <f t="shared" si="370"/>
        <v>-34288</v>
      </c>
      <c r="BL127" s="20">
        <f t="shared" si="370"/>
        <v>-29301</v>
      </c>
      <c r="BM127" s="20">
        <f t="shared" si="370"/>
        <v>-25509</v>
      </c>
      <c r="BN127" s="20">
        <f t="shared" ref="BN127" si="371">BN110</f>
        <v>-53175</v>
      </c>
      <c r="BO127" s="20">
        <v>-44109.5</v>
      </c>
      <c r="BP127" s="20">
        <v>-58356.49</v>
      </c>
      <c r="BQ127" s="20">
        <v>-5656</v>
      </c>
      <c r="BR127" s="20">
        <f>BR110</f>
        <v>-8451</v>
      </c>
      <c r="BS127" s="20">
        <f>BS110</f>
        <v>4954</v>
      </c>
      <c r="BT127" s="20">
        <f t="shared" ref="BT127:BU127" si="372">BT110</f>
        <v>18828</v>
      </c>
      <c r="BU127" s="20">
        <f t="shared" si="372"/>
        <v>7663</v>
      </c>
      <c r="BV127" s="20">
        <v>7731</v>
      </c>
      <c r="BW127" s="20">
        <v>-5423</v>
      </c>
      <c r="BX127" s="20">
        <v>-53376</v>
      </c>
      <c r="BY127" s="20">
        <v>-18521</v>
      </c>
      <c r="BZ127" s="20">
        <v>-28975</v>
      </c>
      <c r="CA127" s="20">
        <v>-39939</v>
      </c>
      <c r="CB127" s="20">
        <f>+CB110</f>
        <v>-50997.999999999985</v>
      </c>
      <c r="CC127" s="20">
        <f>+CC110</f>
        <v>-6309</v>
      </c>
      <c r="CD127" s="20">
        <f>+CD110</f>
        <v>-58154</v>
      </c>
      <c r="CE127" s="20">
        <f>+CE110</f>
        <v>-5881</v>
      </c>
      <c r="CF127" s="20">
        <f>+CF110</f>
        <v>-23608</v>
      </c>
      <c r="CH127" s="20">
        <f t="shared" ref="CH127:DU127" si="373">CH110</f>
        <v>1223</v>
      </c>
      <c r="CI127" s="20">
        <f t="shared" si="373"/>
        <v>27431</v>
      </c>
      <c r="CJ127" s="20">
        <f t="shared" si="373"/>
        <v>29311</v>
      </c>
      <c r="CK127" s="20">
        <f t="shared" si="373"/>
        <v>65453</v>
      </c>
      <c r="CL127" s="20">
        <f t="shared" si="373"/>
        <v>85059</v>
      </c>
      <c r="CM127" s="20">
        <f t="shared" si="373"/>
        <v>102166</v>
      </c>
      <c r="CN127" s="20">
        <f t="shared" si="373"/>
        <v>70600</v>
      </c>
      <c r="CO127" s="20">
        <f t="shared" si="373"/>
        <v>117838</v>
      </c>
      <c r="CP127" s="20">
        <f t="shared" si="373"/>
        <v>154798</v>
      </c>
      <c r="CQ127" s="20">
        <f t="shared" si="373"/>
        <v>107304</v>
      </c>
      <c r="CR127" s="20">
        <f t="shared" si="373"/>
        <v>179217</v>
      </c>
      <c r="CS127" s="20">
        <f t="shared" si="373"/>
        <v>270851</v>
      </c>
      <c r="CT127" s="20">
        <f t="shared" si="373"/>
        <v>170441</v>
      </c>
      <c r="CU127" s="20">
        <f t="shared" si="373"/>
        <v>235430</v>
      </c>
      <c r="CV127" s="20">
        <f t="shared" si="373"/>
        <v>212488</v>
      </c>
      <c r="CW127" s="20">
        <f t="shared" si="373"/>
        <v>15274</v>
      </c>
      <c r="CX127" s="20">
        <f t="shared" si="373"/>
        <v>-34085</v>
      </c>
      <c r="CY127" s="20">
        <f t="shared" si="373"/>
        <v>-146610</v>
      </c>
      <c r="CZ127" s="20">
        <f t="shared" si="373"/>
        <v>176478</v>
      </c>
      <c r="DA127" s="20">
        <f t="shared" si="373"/>
        <v>260536</v>
      </c>
      <c r="DB127" s="20">
        <f t="shared" si="373"/>
        <v>323466</v>
      </c>
      <c r="DC127" s="20">
        <f t="shared" si="373"/>
        <v>159979</v>
      </c>
      <c r="DD127" s="20">
        <f t="shared" si="373"/>
        <v>215816</v>
      </c>
      <c r="DE127" s="20">
        <f t="shared" si="373"/>
        <v>244312</v>
      </c>
      <c r="DF127" s="20">
        <f t="shared" si="373"/>
        <v>118874</v>
      </c>
      <c r="DG127" s="20">
        <f t="shared" si="373"/>
        <v>153302</v>
      </c>
      <c r="DH127" s="20">
        <f t="shared" si="373"/>
        <v>322148</v>
      </c>
      <c r="DI127" s="20">
        <f t="shared" si="373"/>
        <v>-85744</v>
      </c>
      <c r="DJ127" s="20">
        <f t="shared" si="373"/>
        <v>-197141</v>
      </c>
      <c r="DK127" s="20">
        <f t="shared" si="373"/>
        <v>-450402</v>
      </c>
      <c r="DL127" s="20">
        <f t="shared" si="373"/>
        <v>-203931</v>
      </c>
      <c r="DM127" s="20">
        <f t="shared" si="373"/>
        <v>-347962</v>
      </c>
      <c r="DN127" s="20">
        <f t="shared" si="373"/>
        <v>-526082</v>
      </c>
      <c r="DO127" s="20">
        <f t="shared" si="373"/>
        <v>-137175</v>
      </c>
      <c r="DP127" s="20">
        <f t="shared" si="373"/>
        <v>-212846</v>
      </c>
      <c r="DQ127" s="20">
        <f t="shared" si="373"/>
        <v>-278050</v>
      </c>
      <c r="DR127" s="20">
        <f t="shared" si="373"/>
        <v>-144150</v>
      </c>
      <c r="DS127" s="20">
        <f t="shared" si="373"/>
        <v>-197531</v>
      </c>
      <c r="DT127" s="20">
        <f t="shared" si="373"/>
        <v>-256711</v>
      </c>
      <c r="DU127" s="20">
        <f t="shared" si="373"/>
        <v>-97518</v>
      </c>
      <c r="DV127" s="20">
        <f t="shared" ref="DV127:DX127" si="374">DV110</f>
        <v>-131806</v>
      </c>
      <c r="DW127" s="20">
        <f t="shared" si="374"/>
        <v>-161107</v>
      </c>
      <c r="DX127" s="20">
        <f t="shared" si="374"/>
        <v>-78684</v>
      </c>
      <c r="DY127" s="20">
        <f t="shared" ref="DY127:EB127" si="375">DY110</f>
        <v>-122793.5</v>
      </c>
      <c r="DZ127" s="20">
        <f t="shared" si="375"/>
        <v>-181149.99</v>
      </c>
      <c r="EA127" s="20">
        <f t="shared" si="375"/>
        <v>-14107</v>
      </c>
      <c r="EB127" s="20">
        <f t="shared" si="375"/>
        <v>-9153</v>
      </c>
      <c r="EC127" s="20">
        <f t="shared" ref="EC127:EF127" si="376">EC110</f>
        <v>9675</v>
      </c>
      <c r="ED127" s="20">
        <f t="shared" si="376"/>
        <v>15394</v>
      </c>
      <c r="EE127" s="20">
        <f t="shared" si="376"/>
        <v>9971</v>
      </c>
      <c r="EF127" s="20">
        <f t="shared" si="376"/>
        <v>-43405</v>
      </c>
      <c r="EG127" s="20">
        <f t="shared" ref="EG127:EH127" si="377">EG110</f>
        <v>-47496</v>
      </c>
      <c r="EH127" s="20">
        <f t="shared" si="377"/>
        <v>-87435</v>
      </c>
      <c r="EI127" s="20">
        <f t="shared" ref="EI127:EK127" si="378">EI110</f>
        <v>-138433</v>
      </c>
      <c r="EJ127" s="20">
        <f t="shared" si="378"/>
        <v>-64463</v>
      </c>
      <c r="EK127" s="20">
        <f t="shared" si="378"/>
        <v>-70344</v>
      </c>
      <c r="EL127" s="20">
        <f t="shared" ref="EL127" si="379">EL110</f>
        <v>-93952</v>
      </c>
    </row>
    <row r="128" spans="1:142" x14ac:dyDescent="0.3">
      <c r="B128" s="24"/>
      <c r="C128" s="24"/>
      <c r="D128" s="199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</row>
    <row r="129" spans="2:142" ht="14.4" thickBot="1" x14ac:dyDescent="0.35">
      <c r="B129" s="21" t="s">
        <v>31</v>
      </c>
      <c r="C129" s="21" t="s">
        <v>455</v>
      </c>
      <c r="D129" s="181" t="str">
        <f>IF(Menu!$D$12="PT",'Dados Financeiros'!B129,'Dados Financeiros'!C129)</f>
        <v>Ajustes para reconciliar o lucro líquido com o caixa gerado pelas atividades operacionais</v>
      </c>
      <c r="E129" s="20">
        <f t="shared" ref="E129:AJ129" si="380">SUM(E130:E145)</f>
        <v>-385</v>
      </c>
      <c r="F129" s="20">
        <f t="shared" si="380"/>
        <v>2135</v>
      </c>
      <c r="G129" s="20">
        <f t="shared" si="380"/>
        <v>3289</v>
      </c>
      <c r="H129" s="20">
        <f t="shared" si="380"/>
        <v>1625</v>
      </c>
      <c r="I129" s="20">
        <f t="shared" si="380"/>
        <v>7820</v>
      </c>
      <c r="J129" s="20">
        <f t="shared" si="380"/>
        <v>9396</v>
      </c>
      <c r="K129" s="20">
        <f t="shared" si="380"/>
        <v>11883</v>
      </c>
      <c r="L129" s="20">
        <f t="shared" si="380"/>
        <v>12721</v>
      </c>
      <c r="M129" s="20">
        <f t="shared" si="380"/>
        <v>18973</v>
      </c>
      <c r="N129" s="20">
        <f t="shared" si="380"/>
        <v>22419</v>
      </c>
      <c r="O129" s="20">
        <f t="shared" si="380"/>
        <v>27635</v>
      </c>
      <c r="P129" s="20">
        <f t="shared" si="380"/>
        <v>22483</v>
      </c>
      <c r="Q129" s="20">
        <f t="shared" si="380"/>
        <v>43788</v>
      </c>
      <c r="R129" s="20">
        <f t="shared" si="380"/>
        <v>51232</v>
      </c>
      <c r="S129" s="20">
        <f t="shared" si="380"/>
        <v>57083</v>
      </c>
      <c r="T129" s="20">
        <f t="shared" si="380"/>
        <v>46295</v>
      </c>
      <c r="U129" s="20">
        <f t="shared" si="380"/>
        <v>68672</v>
      </c>
      <c r="V129" s="20">
        <f t="shared" si="380"/>
        <v>105011</v>
      </c>
      <c r="W129" s="20">
        <f t="shared" si="380"/>
        <v>50906</v>
      </c>
      <c r="X129" s="20">
        <f t="shared" si="380"/>
        <v>47982</v>
      </c>
      <c r="Y129" s="20">
        <f t="shared" si="380"/>
        <v>59827</v>
      </c>
      <c r="Z129" s="20">
        <f t="shared" si="380"/>
        <v>63010</v>
      </c>
      <c r="AA129" s="20">
        <f t="shared" si="380"/>
        <v>61890</v>
      </c>
      <c r="AB129" s="20">
        <f t="shared" si="380"/>
        <v>49214</v>
      </c>
      <c r="AC129" s="20">
        <f t="shared" si="380"/>
        <v>115299</v>
      </c>
      <c r="AD129" s="20">
        <f t="shared" si="380"/>
        <v>81833</v>
      </c>
      <c r="AE129" s="20">
        <f t="shared" si="380"/>
        <v>60731</v>
      </c>
      <c r="AF129" s="20">
        <f t="shared" si="380"/>
        <v>89121</v>
      </c>
      <c r="AG129" s="20">
        <f t="shared" si="380"/>
        <v>75385</v>
      </c>
      <c r="AH129" s="20">
        <f t="shared" si="380"/>
        <v>81916</v>
      </c>
      <c r="AI129" s="20">
        <f t="shared" si="380"/>
        <v>55167</v>
      </c>
      <c r="AJ129" s="20">
        <f t="shared" si="380"/>
        <v>64145</v>
      </c>
      <c r="AK129" s="20">
        <f t="shared" ref="AK129:BM129" si="381">SUM(AK130:AK145)</f>
        <v>70761</v>
      </c>
      <c r="AL129" s="20">
        <f t="shared" si="381"/>
        <v>83458</v>
      </c>
      <c r="AM129" s="20">
        <f t="shared" si="381"/>
        <v>62645</v>
      </c>
      <c r="AN129" s="20">
        <f t="shared" si="381"/>
        <v>66465</v>
      </c>
      <c r="AO129" s="20">
        <f t="shared" si="381"/>
        <v>73172</v>
      </c>
      <c r="AP129" s="20">
        <f t="shared" si="381"/>
        <v>84491</v>
      </c>
      <c r="AQ129" s="20">
        <f t="shared" si="381"/>
        <v>86896</v>
      </c>
      <c r="AR129" s="20">
        <f t="shared" si="381"/>
        <v>-256755</v>
      </c>
      <c r="AS129" s="20">
        <f t="shared" si="381"/>
        <v>53884</v>
      </c>
      <c r="AT129" s="20">
        <f t="shared" si="381"/>
        <v>45144</v>
      </c>
      <c r="AU129" s="20">
        <f t="shared" si="381"/>
        <v>47424</v>
      </c>
      <c r="AV129" s="20">
        <f t="shared" si="381"/>
        <v>194354</v>
      </c>
      <c r="AW129" s="20">
        <f t="shared" si="381"/>
        <v>39152</v>
      </c>
      <c r="AX129" s="20">
        <f t="shared" si="381"/>
        <v>87372</v>
      </c>
      <c r="AY129" s="20">
        <f t="shared" si="381"/>
        <v>89683</v>
      </c>
      <c r="AZ129" s="20">
        <f t="shared" si="381"/>
        <v>75812</v>
      </c>
      <c r="BA129" s="20">
        <f t="shared" si="381"/>
        <v>39137</v>
      </c>
      <c r="BB129" s="20">
        <f t="shared" si="381"/>
        <v>34045</v>
      </c>
      <c r="BC129" s="20">
        <f t="shared" si="381"/>
        <v>15933</v>
      </c>
      <c r="BD129" s="20">
        <f t="shared" si="381"/>
        <v>32521</v>
      </c>
      <c r="BE129" s="20">
        <f t="shared" si="381"/>
        <v>15458</v>
      </c>
      <c r="BF129" s="20">
        <f t="shared" si="381"/>
        <v>98019</v>
      </c>
      <c r="BG129" s="20">
        <f t="shared" si="381"/>
        <v>13473</v>
      </c>
      <c r="BH129" s="20">
        <f t="shared" si="381"/>
        <v>30362</v>
      </c>
      <c r="BI129" s="20">
        <f t="shared" si="381"/>
        <v>22721</v>
      </c>
      <c r="BJ129" s="20">
        <f t="shared" si="381"/>
        <v>6143</v>
      </c>
      <c r="BK129" s="20">
        <f t="shared" si="381"/>
        <v>-8710</v>
      </c>
      <c r="BL129" s="20">
        <f t="shared" si="381"/>
        <v>-5336</v>
      </c>
      <c r="BM129" s="20">
        <f t="shared" si="381"/>
        <v>-125</v>
      </c>
      <c r="BN129" s="20">
        <f t="shared" ref="BN129" si="382">SUM(BN130:BN145)</f>
        <v>-18175</v>
      </c>
      <c r="BO129" s="20">
        <v>22807</v>
      </c>
      <c r="BP129" s="20">
        <f t="shared" ref="BP129:BQ129" si="383">SUM(BP130:BP145)</f>
        <v>23317</v>
      </c>
      <c r="BQ129" s="20">
        <f t="shared" si="383"/>
        <v>5241</v>
      </c>
      <c r="BR129" s="20">
        <f>SUM(BR130:BR145)</f>
        <v>9675</v>
      </c>
      <c r="BS129" s="20">
        <f>SUM(BS130:BS145)</f>
        <v>-754</v>
      </c>
      <c r="BT129" s="20">
        <f>SUM(BT130:BT145)</f>
        <v>15772</v>
      </c>
      <c r="BU129" s="20">
        <f>SUM(BU130:BU145)</f>
        <v>26991</v>
      </c>
      <c r="BV129" s="20">
        <v>18888</v>
      </c>
      <c r="BW129" s="20">
        <v>16733</v>
      </c>
      <c r="BX129" s="20">
        <f>SUM(BX130:BX145)</f>
        <v>48868</v>
      </c>
      <c r="BY129" s="20">
        <v>15619</v>
      </c>
      <c r="BZ129" s="20">
        <v>34182</v>
      </c>
      <c r="CA129" s="20">
        <v>15275</v>
      </c>
      <c r="CB129" s="20">
        <f>SUM(CB130:CB145)</f>
        <v>8938</v>
      </c>
      <c r="CC129" s="20">
        <f>SUM(CC130:CC145)</f>
        <v>6283</v>
      </c>
      <c r="CD129" s="20">
        <f>SUM(CD130:CD145)</f>
        <v>23204</v>
      </c>
      <c r="CE129" s="20">
        <f>SUM(CE130:CE145)</f>
        <v>17911</v>
      </c>
      <c r="CF129" s="20">
        <f>SUM(CF130:CF145)</f>
        <v>-7647</v>
      </c>
      <c r="CH129" s="20">
        <f t="shared" ref="CH129:DU129" si="384">SUM(CH130:CH145)</f>
        <v>1750</v>
      </c>
      <c r="CI129" s="20">
        <f t="shared" si="384"/>
        <v>5039</v>
      </c>
      <c r="CJ129" s="20">
        <f t="shared" si="384"/>
        <v>6664</v>
      </c>
      <c r="CK129" s="20">
        <f t="shared" si="384"/>
        <v>17216</v>
      </c>
      <c r="CL129" s="20">
        <f t="shared" si="384"/>
        <v>29099</v>
      </c>
      <c r="CM129" s="20">
        <f t="shared" si="384"/>
        <v>41820</v>
      </c>
      <c r="CN129" s="20">
        <f t="shared" si="384"/>
        <v>41392</v>
      </c>
      <c r="CO129" s="20">
        <f t="shared" si="384"/>
        <v>69027</v>
      </c>
      <c r="CP129" s="20">
        <f t="shared" si="384"/>
        <v>91510</v>
      </c>
      <c r="CQ129" s="20">
        <f t="shared" si="384"/>
        <v>95020</v>
      </c>
      <c r="CR129" s="20">
        <f t="shared" si="384"/>
        <v>152103</v>
      </c>
      <c r="CS129" s="20">
        <f t="shared" si="384"/>
        <v>198398</v>
      </c>
      <c r="CT129" s="20">
        <f t="shared" si="384"/>
        <v>173683</v>
      </c>
      <c r="CU129" s="20">
        <f t="shared" si="384"/>
        <v>224589</v>
      </c>
      <c r="CV129" s="20">
        <f t="shared" si="384"/>
        <v>272571</v>
      </c>
      <c r="CW129" s="20">
        <f t="shared" si="384"/>
        <v>112224</v>
      </c>
      <c r="CX129" s="20">
        <f t="shared" si="384"/>
        <v>194057</v>
      </c>
      <c r="CY129" s="20">
        <f t="shared" si="384"/>
        <v>283178</v>
      </c>
      <c r="CZ129" s="20">
        <f t="shared" si="384"/>
        <v>157301</v>
      </c>
      <c r="DA129" s="20">
        <f t="shared" si="384"/>
        <v>212468</v>
      </c>
      <c r="DB129" s="20">
        <f t="shared" si="384"/>
        <v>276613</v>
      </c>
      <c r="DC129" s="20">
        <f t="shared" si="384"/>
        <v>154219</v>
      </c>
      <c r="DD129" s="20">
        <f t="shared" si="384"/>
        <v>216864</v>
      </c>
      <c r="DE129" s="20">
        <f t="shared" si="384"/>
        <v>283329</v>
      </c>
      <c r="DF129" s="20">
        <f t="shared" si="384"/>
        <v>157663</v>
      </c>
      <c r="DG129" s="20">
        <f t="shared" si="384"/>
        <v>244559</v>
      </c>
      <c r="DH129" s="20">
        <f t="shared" si="384"/>
        <v>-12196</v>
      </c>
      <c r="DI129" s="20">
        <f t="shared" si="384"/>
        <v>99028</v>
      </c>
      <c r="DJ129" s="20">
        <f t="shared" si="384"/>
        <v>146452</v>
      </c>
      <c r="DK129" s="20">
        <f t="shared" si="384"/>
        <v>340806</v>
      </c>
      <c r="DL129" s="20">
        <f t="shared" si="384"/>
        <v>126524</v>
      </c>
      <c r="DM129" s="20">
        <f t="shared" si="384"/>
        <v>216207</v>
      </c>
      <c r="DN129" s="20">
        <f t="shared" si="384"/>
        <v>292019</v>
      </c>
      <c r="DO129" s="20">
        <f t="shared" si="384"/>
        <v>73182</v>
      </c>
      <c r="DP129" s="20">
        <f t="shared" si="384"/>
        <v>89115</v>
      </c>
      <c r="DQ129" s="20">
        <f t="shared" si="384"/>
        <v>121636</v>
      </c>
      <c r="DR129" s="20">
        <f t="shared" si="384"/>
        <v>113477</v>
      </c>
      <c r="DS129" s="20">
        <f t="shared" si="384"/>
        <v>126950</v>
      </c>
      <c r="DT129" s="20">
        <f t="shared" si="384"/>
        <v>157312</v>
      </c>
      <c r="DU129" s="20">
        <f t="shared" si="384"/>
        <v>28864</v>
      </c>
      <c r="DV129" s="20">
        <f t="shared" ref="DV129:DX129" si="385">SUM(DV130:DV145)</f>
        <v>20154</v>
      </c>
      <c r="DW129" s="20">
        <f t="shared" si="385"/>
        <v>14818</v>
      </c>
      <c r="DX129" s="20">
        <f t="shared" si="385"/>
        <v>-18300</v>
      </c>
      <c r="DY129" s="20">
        <f t="shared" ref="DY129:EB129" si="386">SUM(DY130:DY145)</f>
        <v>4507</v>
      </c>
      <c r="DZ129" s="20">
        <f t="shared" si="386"/>
        <v>27824</v>
      </c>
      <c r="EA129" s="20">
        <f t="shared" si="386"/>
        <v>14916</v>
      </c>
      <c r="EB129" s="20">
        <f t="shared" si="386"/>
        <v>14162</v>
      </c>
      <c r="EC129" s="20">
        <f t="shared" ref="EC129:EF129" si="387">SUM(EC130:EC145)</f>
        <v>29934</v>
      </c>
      <c r="ED129" s="20">
        <f t="shared" si="387"/>
        <v>45879</v>
      </c>
      <c r="EE129" s="20">
        <f t="shared" si="387"/>
        <v>62612</v>
      </c>
      <c r="EF129" s="20">
        <f t="shared" si="387"/>
        <v>98737</v>
      </c>
      <c r="EG129" s="20">
        <f t="shared" ref="EG129:EH129" si="388">SUM(EG130:EG145)</f>
        <v>49802</v>
      </c>
      <c r="EH129" s="20">
        <f t="shared" si="388"/>
        <v>65077</v>
      </c>
      <c r="EI129" s="20">
        <f t="shared" ref="EI129:EK129" si="389">SUM(EI130:EI145)</f>
        <v>74015</v>
      </c>
      <c r="EJ129" s="20">
        <f t="shared" si="389"/>
        <v>29487</v>
      </c>
      <c r="EK129" s="20">
        <f t="shared" si="389"/>
        <v>47398</v>
      </c>
      <c r="EL129" s="20">
        <f t="shared" ref="EL129" si="390">SUM(EL130:EL145)</f>
        <v>39751</v>
      </c>
    </row>
    <row r="130" spans="2:142" x14ac:dyDescent="0.3">
      <c r="B130" s="129" t="s">
        <v>585</v>
      </c>
      <c r="C130" s="129" t="s">
        <v>456</v>
      </c>
      <c r="D130" s="183" t="str">
        <f>IF(Menu!$D$12="PT",'Dados Financeiros'!B130,'Dados Financeiros'!C130)</f>
        <v>Depreciação - FCX</v>
      </c>
      <c r="E130" s="4">
        <v>-426</v>
      </c>
      <c r="F130" s="4">
        <v>-427</v>
      </c>
      <c r="G130" s="4">
        <v>-397</v>
      </c>
      <c r="H130" s="4">
        <v>259</v>
      </c>
      <c r="I130" s="4">
        <v>245</v>
      </c>
      <c r="J130" s="4">
        <v>280</v>
      </c>
      <c r="K130" s="4">
        <v>354</v>
      </c>
      <c r="L130" s="4">
        <v>3586</v>
      </c>
      <c r="M130" s="4">
        <v>2876</v>
      </c>
      <c r="N130" s="4">
        <v>4794</v>
      </c>
      <c r="O130" s="4">
        <v>4625</v>
      </c>
      <c r="P130" s="4">
        <v>2542</v>
      </c>
      <c r="Q130" s="4">
        <v>4980</v>
      </c>
      <c r="R130" s="4">
        <v>2723</v>
      </c>
      <c r="S130" s="4">
        <v>2663</v>
      </c>
      <c r="T130" s="4">
        <v>2453</v>
      </c>
      <c r="U130" s="4">
        <v>3433</v>
      </c>
      <c r="V130" s="4">
        <v>3355</v>
      </c>
      <c r="W130" s="4">
        <v>3792</v>
      </c>
      <c r="X130" s="4">
        <v>2890</v>
      </c>
      <c r="Y130" s="4">
        <v>3181</v>
      </c>
      <c r="Z130" s="4">
        <v>2999</v>
      </c>
      <c r="AA130" s="4">
        <v>2623</v>
      </c>
      <c r="AB130" s="4">
        <v>2463</v>
      </c>
      <c r="AC130" s="4">
        <v>4648</v>
      </c>
      <c r="AD130" s="4">
        <v>2781</v>
      </c>
      <c r="AE130" s="4">
        <v>3629</v>
      </c>
      <c r="AF130" s="4">
        <v>2721</v>
      </c>
      <c r="AG130" s="4">
        <v>2624</v>
      </c>
      <c r="AH130" s="4">
        <v>3439</v>
      </c>
      <c r="AI130" s="4">
        <v>3259</v>
      </c>
      <c r="AJ130" s="4">
        <v>3712</v>
      </c>
      <c r="AK130" s="4">
        <v>3377</v>
      </c>
      <c r="AL130" s="4">
        <v>3386</v>
      </c>
      <c r="AM130" s="4">
        <v>2982</v>
      </c>
      <c r="AN130" s="4">
        <v>3049</v>
      </c>
      <c r="AO130" s="4">
        <v>3068</v>
      </c>
      <c r="AP130" s="4">
        <v>3042</v>
      </c>
      <c r="AQ130" s="4">
        <v>3030</v>
      </c>
      <c r="AR130" s="4">
        <v>-2364</v>
      </c>
      <c r="AS130" s="4">
        <v>1165</v>
      </c>
      <c r="AT130" s="4">
        <v>1058</v>
      </c>
      <c r="AU130" s="4">
        <v>730</v>
      </c>
      <c r="AV130" s="4">
        <v>773</v>
      </c>
      <c r="AW130" s="4">
        <v>886</v>
      </c>
      <c r="AX130" s="4">
        <v>730</v>
      </c>
      <c r="AY130" s="4">
        <v>600</v>
      </c>
      <c r="AZ130" s="4">
        <v>577</v>
      </c>
      <c r="BA130" s="4">
        <v>497</v>
      </c>
      <c r="BB130" s="4">
        <v>486</v>
      </c>
      <c r="BC130" s="4">
        <v>212</v>
      </c>
      <c r="BD130" s="4">
        <v>535</v>
      </c>
      <c r="BE130" s="4">
        <v>525</v>
      </c>
      <c r="BF130" s="4">
        <v>423</v>
      </c>
      <c r="BG130" s="4">
        <v>249</v>
      </c>
      <c r="BH130" s="4">
        <v>1266</v>
      </c>
      <c r="BI130" s="4">
        <v>561</v>
      </c>
      <c r="BJ130" s="4">
        <v>561</v>
      </c>
      <c r="BK130" s="4">
        <v>550</v>
      </c>
      <c r="BL130" s="4">
        <v>575</v>
      </c>
      <c r="BM130" s="4">
        <v>1186</v>
      </c>
      <c r="BN130" s="4">
        <v>1137</v>
      </c>
      <c r="BO130" s="4">
        <v>1503</v>
      </c>
      <c r="BP130" s="4">
        <f>6926-BO130-BN130-BM130</f>
        <v>3100</v>
      </c>
      <c r="BQ130" s="4">
        <v>1651</v>
      </c>
      <c r="BR130" s="4">
        <v>1624</v>
      </c>
      <c r="BS130" s="4">
        <v>1335</v>
      </c>
      <c r="BT130" s="4">
        <v>1798</v>
      </c>
      <c r="BU130" s="4">
        <v>1346</v>
      </c>
      <c r="BV130" s="4">
        <v>964</v>
      </c>
      <c r="BW130" s="4">
        <v>1159</v>
      </c>
      <c r="BX130" s="4">
        <v>1357</v>
      </c>
      <c r="BY130" s="4">
        <v>956</v>
      </c>
      <c r="BZ130" s="4">
        <v>928</v>
      </c>
      <c r="CA130" s="4">
        <v>946</v>
      </c>
      <c r="CB130" s="4">
        <v>825</v>
      </c>
      <c r="CC130" s="4">
        <v>816</v>
      </c>
      <c r="CD130" s="4">
        <v>816</v>
      </c>
      <c r="CE130" s="4">
        <v>1321</v>
      </c>
      <c r="CF130" s="4">
        <v>445</v>
      </c>
      <c r="CH130" s="94">
        <f t="shared" ref="CH130:CQ133" si="391">SUMIF($B$1:$CG$1,"&lt;="&amp;VALUE(RIGHT(CH$2,2)&amp;IF(LEFT(CH$2,2)="1S",2,IF(LEFT(CH$2,2)="9M",3,4))),$B130:$CG130)-
SUMIF($B$1:$CG$1,"&lt;"&amp;VALUE(RIGHT(CH$2,2))&amp;"0",$B130:$CG130)</f>
        <v>-853</v>
      </c>
      <c r="CI130" s="94">
        <f t="shared" si="391"/>
        <v>-1250</v>
      </c>
      <c r="CJ130" s="94">
        <f t="shared" si="391"/>
        <v>-991</v>
      </c>
      <c r="CK130" s="94">
        <f t="shared" si="391"/>
        <v>525</v>
      </c>
      <c r="CL130" s="94">
        <f t="shared" si="391"/>
        <v>879</v>
      </c>
      <c r="CM130" s="94">
        <f t="shared" si="391"/>
        <v>4465</v>
      </c>
      <c r="CN130" s="94">
        <f t="shared" si="391"/>
        <v>7670</v>
      </c>
      <c r="CO130" s="94">
        <f t="shared" si="391"/>
        <v>12295</v>
      </c>
      <c r="CP130" s="94">
        <f t="shared" si="391"/>
        <v>14837</v>
      </c>
      <c r="CQ130" s="94">
        <f t="shared" si="391"/>
        <v>7703</v>
      </c>
      <c r="CR130" s="94">
        <f t="shared" ref="CR130:DA133" si="392">SUMIF($B$1:$CG$1,"&lt;="&amp;VALUE(RIGHT(CR$2,2)&amp;IF(LEFT(CR$2,2)="1S",2,IF(LEFT(CR$2,2)="9M",3,4))),$B130:$CG130)-
SUMIF($B$1:$CG$1,"&lt;"&amp;VALUE(RIGHT(CR$2,2))&amp;"0",$B130:$CG130)</f>
        <v>10366</v>
      </c>
      <c r="CS130" s="94">
        <f t="shared" si="392"/>
        <v>12819</v>
      </c>
      <c r="CT130" s="94">
        <f t="shared" si="392"/>
        <v>6788</v>
      </c>
      <c r="CU130" s="94">
        <f t="shared" si="392"/>
        <v>10580</v>
      </c>
      <c r="CV130" s="94">
        <f t="shared" si="392"/>
        <v>13470</v>
      </c>
      <c r="CW130" s="94">
        <f t="shared" si="392"/>
        <v>5462</v>
      </c>
      <c r="CX130" s="94">
        <f t="shared" si="392"/>
        <v>8243</v>
      </c>
      <c r="CY130" s="94">
        <f t="shared" si="392"/>
        <v>10964</v>
      </c>
      <c r="CZ130" s="94">
        <f t="shared" si="392"/>
        <v>6063</v>
      </c>
      <c r="DA130" s="94">
        <f t="shared" si="392"/>
        <v>9322</v>
      </c>
      <c r="DB130" s="94">
        <f t="shared" ref="DB130:DK133" si="393">SUMIF($B$1:$CG$1,"&lt;="&amp;VALUE(RIGHT(DB$2,2)&amp;IF(LEFT(DB$2,2)="1S",2,IF(LEFT(DB$2,2)="9M",3,4))),$B130:$CG130)-
SUMIF($B$1:$CG$1,"&lt;"&amp;VALUE(RIGHT(DB$2,2))&amp;"0",$B130:$CG130)</f>
        <v>13034</v>
      </c>
      <c r="DC130" s="94">
        <f t="shared" si="393"/>
        <v>6763</v>
      </c>
      <c r="DD130" s="94">
        <f t="shared" si="393"/>
        <v>9745</v>
      </c>
      <c r="DE130" s="94">
        <f t="shared" si="393"/>
        <v>12794</v>
      </c>
      <c r="DF130" s="94">
        <f t="shared" si="393"/>
        <v>6110</v>
      </c>
      <c r="DG130" s="94">
        <f t="shared" si="393"/>
        <v>9140</v>
      </c>
      <c r="DH130" s="94">
        <f t="shared" si="393"/>
        <v>6776</v>
      </c>
      <c r="DI130" s="94">
        <f t="shared" si="393"/>
        <v>2223</v>
      </c>
      <c r="DJ130" s="94">
        <f t="shared" si="393"/>
        <v>2953</v>
      </c>
      <c r="DK130" s="94">
        <f t="shared" si="393"/>
        <v>3726</v>
      </c>
      <c r="DL130" s="94">
        <f t="shared" ref="DL130:DU133" si="394">SUMIF($B$1:$CG$1,"&lt;="&amp;VALUE(RIGHT(DL$2,2)&amp;IF(LEFT(DL$2,2)="1S",2,IF(LEFT(DL$2,2)="9M",3,4))),$B130:$CG130)-
SUMIF($B$1:$CG$1,"&lt;"&amp;VALUE(RIGHT(DL$2,2))&amp;"0",$B130:$CG130)</f>
        <v>1616</v>
      </c>
      <c r="DM130" s="94">
        <f t="shared" si="394"/>
        <v>2216</v>
      </c>
      <c r="DN130" s="94">
        <f t="shared" si="394"/>
        <v>2793</v>
      </c>
      <c r="DO130" s="94">
        <f t="shared" si="394"/>
        <v>983</v>
      </c>
      <c r="DP130" s="94">
        <f t="shared" si="394"/>
        <v>1195</v>
      </c>
      <c r="DQ130" s="94">
        <f t="shared" si="394"/>
        <v>1730</v>
      </c>
      <c r="DR130" s="94">
        <f t="shared" si="394"/>
        <v>948</v>
      </c>
      <c r="DS130" s="94">
        <f t="shared" si="394"/>
        <v>1197</v>
      </c>
      <c r="DT130" s="94">
        <f t="shared" si="394"/>
        <v>2463</v>
      </c>
      <c r="DU130" s="94">
        <f t="shared" si="394"/>
        <v>1122</v>
      </c>
      <c r="DV130" s="94">
        <f t="shared" ref="DV130:EE133" si="395">SUMIF($B$1:$CG$1,"&lt;="&amp;VALUE(RIGHT(DV$2,2)&amp;IF(LEFT(DV$2,2)="1S",2,IF(LEFT(DV$2,2)="9M",3,4))),$B130:$CG130)-
SUMIF($B$1:$CG$1,"&lt;"&amp;VALUE(RIGHT(DV$2,2))&amp;"0",$B130:$CG130)</f>
        <v>1672</v>
      </c>
      <c r="DW130" s="94">
        <f t="shared" si="395"/>
        <v>2247</v>
      </c>
      <c r="DX130" s="94">
        <f t="shared" si="395"/>
        <v>2323</v>
      </c>
      <c r="DY130" s="94">
        <f t="shared" si="395"/>
        <v>3826</v>
      </c>
      <c r="DZ130" s="94">
        <f t="shared" si="395"/>
        <v>6926</v>
      </c>
      <c r="EA130" s="94">
        <f t="shared" si="395"/>
        <v>3275</v>
      </c>
      <c r="EB130" s="94">
        <f t="shared" si="395"/>
        <v>4610</v>
      </c>
      <c r="EC130" s="94">
        <f t="shared" si="395"/>
        <v>6408</v>
      </c>
      <c r="ED130" s="94">
        <f t="shared" si="395"/>
        <v>2310</v>
      </c>
      <c r="EE130" s="94">
        <f t="shared" si="395"/>
        <v>3469</v>
      </c>
      <c r="EF130" s="94">
        <f t="shared" ref="EF130:EL133" si="396">SUMIF($B$1:$CG$1,"&lt;="&amp;VALUE(RIGHT(EF$2,2)&amp;IF(LEFT(EF$2,2)="1S",2,IF(LEFT(EF$2,2)="9M",3,4))),$B130:$CG130)-
SUMIF($B$1:$CG$1,"&lt;"&amp;VALUE(RIGHT(EF$2,2))&amp;"0",$B130:$CG130)</f>
        <v>4826</v>
      </c>
      <c r="EG130" s="94">
        <f t="shared" si="396"/>
        <v>1884</v>
      </c>
      <c r="EH130" s="94">
        <f t="shared" si="396"/>
        <v>2830</v>
      </c>
      <c r="EI130" s="94">
        <f t="shared" si="396"/>
        <v>3655</v>
      </c>
      <c r="EJ130" s="94">
        <f t="shared" si="396"/>
        <v>1632</v>
      </c>
      <c r="EK130" s="94">
        <f t="shared" si="396"/>
        <v>2953</v>
      </c>
      <c r="EL130" s="94">
        <f t="shared" si="396"/>
        <v>3398</v>
      </c>
    </row>
    <row r="131" spans="2:142" x14ac:dyDescent="0.3">
      <c r="B131" s="129" t="s">
        <v>622</v>
      </c>
      <c r="C131" s="129" t="s">
        <v>457</v>
      </c>
      <c r="D131" s="183" t="str">
        <f>IF(Menu!$D$12="PT",'Dados Financeiros'!B131,'Dados Financeiros'!C131)</f>
        <v>Amortização de ágios / software (líquido) - FCX</v>
      </c>
      <c r="E131" s="4">
        <v>0</v>
      </c>
      <c r="F131" s="4">
        <v>0</v>
      </c>
      <c r="G131" s="4">
        <v>0</v>
      </c>
      <c r="H131" s="4">
        <v>0</v>
      </c>
      <c r="I131" s="4">
        <v>153</v>
      </c>
      <c r="J131" s="4">
        <v>622</v>
      </c>
      <c r="K131" s="4">
        <v>619</v>
      </c>
      <c r="L131" s="4">
        <v>1113</v>
      </c>
      <c r="M131" s="4">
        <v>982</v>
      </c>
      <c r="N131" s="4">
        <v>2023</v>
      </c>
      <c r="O131" s="4">
        <v>2171</v>
      </c>
      <c r="P131" s="4">
        <v>-643</v>
      </c>
      <c r="Q131" s="4">
        <v>1763</v>
      </c>
      <c r="R131" s="4">
        <v>1592</v>
      </c>
      <c r="S131" s="4">
        <v>2132</v>
      </c>
      <c r="T131" s="4">
        <v>1929</v>
      </c>
      <c r="U131" s="4">
        <v>1380</v>
      </c>
      <c r="V131" s="4">
        <v>1130</v>
      </c>
      <c r="W131" s="4">
        <v>1485</v>
      </c>
      <c r="X131" s="4">
        <v>1334</v>
      </c>
      <c r="Y131" s="4">
        <v>1628</v>
      </c>
      <c r="Z131" s="4">
        <v>1628</v>
      </c>
      <c r="AA131" s="4">
        <v>1735</v>
      </c>
      <c r="AB131" s="4">
        <v>1735</v>
      </c>
      <c r="AC131" s="4">
        <v>1878</v>
      </c>
      <c r="AD131" s="4">
        <v>1879</v>
      </c>
      <c r="AE131" s="4">
        <v>4238</v>
      </c>
      <c r="AF131" s="4">
        <v>4238</v>
      </c>
      <c r="AG131" s="4">
        <v>3662</v>
      </c>
      <c r="AH131" s="4">
        <v>3829</v>
      </c>
      <c r="AI131" s="4">
        <v>3384</v>
      </c>
      <c r="AJ131" s="4">
        <v>3410</v>
      </c>
      <c r="AK131" s="4">
        <v>3535</v>
      </c>
      <c r="AL131" s="4">
        <v>3533</v>
      </c>
      <c r="AM131" s="4">
        <v>2494</v>
      </c>
      <c r="AN131" s="4">
        <v>1753</v>
      </c>
      <c r="AO131" s="4">
        <v>1799</v>
      </c>
      <c r="AP131" s="4">
        <v>1817</v>
      </c>
      <c r="AQ131" s="4">
        <v>1828</v>
      </c>
      <c r="AR131" s="4">
        <v>1723</v>
      </c>
      <c r="AS131" s="4">
        <v>1671</v>
      </c>
      <c r="AT131" s="4">
        <v>1581</v>
      </c>
      <c r="AU131" s="4">
        <v>1490</v>
      </c>
      <c r="AV131" s="4">
        <v>1398</v>
      </c>
      <c r="AW131" s="4">
        <v>1306</v>
      </c>
      <c r="AX131" s="4">
        <v>1643</v>
      </c>
      <c r="AY131" s="4">
        <v>1780</v>
      </c>
      <c r="AZ131" s="4">
        <v>1623</v>
      </c>
      <c r="BA131" s="4">
        <v>1555</v>
      </c>
      <c r="BB131" s="4">
        <v>1493</v>
      </c>
      <c r="BC131" s="4">
        <v>1470</v>
      </c>
      <c r="BD131" s="4">
        <v>1449</v>
      </c>
      <c r="BE131" s="4">
        <v>1424</v>
      </c>
      <c r="BF131" s="4">
        <v>1401</v>
      </c>
      <c r="BG131" s="4">
        <v>1370</v>
      </c>
      <c r="BH131" s="4">
        <v>1324</v>
      </c>
      <c r="BI131" s="4">
        <v>1280</v>
      </c>
      <c r="BJ131" s="4">
        <v>1258</v>
      </c>
      <c r="BK131" s="4">
        <v>1241</v>
      </c>
      <c r="BL131" s="4">
        <v>1257</v>
      </c>
      <c r="BM131" s="4">
        <v>1248</v>
      </c>
      <c r="BN131" s="4">
        <v>1242</v>
      </c>
      <c r="BO131" s="4">
        <v>1240</v>
      </c>
      <c r="BP131" s="4">
        <f>4983-BO131-BN131-BM131</f>
        <v>1253</v>
      </c>
      <c r="BQ131" s="4">
        <v>1338</v>
      </c>
      <c r="BR131" s="4">
        <v>1053</v>
      </c>
      <c r="BS131" s="4">
        <v>915</v>
      </c>
      <c r="BT131" s="4">
        <v>1732</v>
      </c>
      <c r="BU131" s="4">
        <v>926</v>
      </c>
      <c r="BV131" s="4">
        <v>938</v>
      </c>
      <c r="BW131" s="4">
        <v>960</v>
      </c>
      <c r="BX131" s="4">
        <v>925</v>
      </c>
      <c r="BY131" s="4">
        <v>941</v>
      </c>
      <c r="BZ131" s="4">
        <v>973</v>
      </c>
      <c r="CA131" s="4">
        <v>1081</v>
      </c>
      <c r="CB131" s="4">
        <v>1001</v>
      </c>
      <c r="CC131" s="4">
        <v>1132</v>
      </c>
      <c r="CD131" s="4">
        <v>1148</v>
      </c>
      <c r="CE131" s="4">
        <v>1016</v>
      </c>
      <c r="CF131" s="4">
        <v>882</v>
      </c>
      <c r="CH131" s="94">
        <f t="shared" si="391"/>
        <v>0</v>
      </c>
      <c r="CI131" s="94">
        <f t="shared" si="391"/>
        <v>0</v>
      </c>
      <c r="CJ131" s="94">
        <f t="shared" si="391"/>
        <v>0</v>
      </c>
      <c r="CK131" s="94">
        <f t="shared" si="391"/>
        <v>775</v>
      </c>
      <c r="CL131" s="94">
        <f t="shared" si="391"/>
        <v>1394</v>
      </c>
      <c r="CM131" s="94">
        <f t="shared" si="391"/>
        <v>2507</v>
      </c>
      <c r="CN131" s="94">
        <f t="shared" si="391"/>
        <v>3005</v>
      </c>
      <c r="CO131" s="94">
        <f t="shared" si="391"/>
        <v>5176</v>
      </c>
      <c r="CP131" s="94">
        <f t="shared" si="391"/>
        <v>4533</v>
      </c>
      <c r="CQ131" s="94">
        <f t="shared" si="391"/>
        <v>3355</v>
      </c>
      <c r="CR131" s="94">
        <f t="shared" si="392"/>
        <v>5487</v>
      </c>
      <c r="CS131" s="94">
        <f t="shared" si="392"/>
        <v>7416</v>
      </c>
      <c r="CT131" s="94">
        <f t="shared" si="392"/>
        <v>2510</v>
      </c>
      <c r="CU131" s="94">
        <f t="shared" si="392"/>
        <v>3995</v>
      </c>
      <c r="CV131" s="94">
        <f t="shared" si="392"/>
        <v>5329</v>
      </c>
      <c r="CW131" s="94">
        <f t="shared" si="392"/>
        <v>3363</v>
      </c>
      <c r="CX131" s="94">
        <f t="shared" si="392"/>
        <v>5242</v>
      </c>
      <c r="CY131" s="94">
        <f t="shared" si="392"/>
        <v>9480</v>
      </c>
      <c r="CZ131" s="94">
        <f t="shared" si="392"/>
        <v>7491</v>
      </c>
      <c r="DA131" s="94">
        <f t="shared" si="392"/>
        <v>10875</v>
      </c>
      <c r="DB131" s="94">
        <f t="shared" si="393"/>
        <v>14285</v>
      </c>
      <c r="DC131" s="94">
        <f t="shared" si="393"/>
        <v>7068</v>
      </c>
      <c r="DD131" s="94">
        <f t="shared" si="393"/>
        <v>9562</v>
      </c>
      <c r="DE131" s="94">
        <f t="shared" si="393"/>
        <v>11315</v>
      </c>
      <c r="DF131" s="94">
        <f t="shared" si="393"/>
        <v>3616</v>
      </c>
      <c r="DG131" s="94">
        <f t="shared" si="393"/>
        <v>5444</v>
      </c>
      <c r="DH131" s="94">
        <f t="shared" si="393"/>
        <v>7167</v>
      </c>
      <c r="DI131" s="94">
        <f t="shared" si="393"/>
        <v>3252</v>
      </c>
      <c r="DJ131" s="94">
        <f t="shared" si="393"/>
        <v>4742</v>
      </c>
      <c r="DK131" s="94">
        <f t="shared" si="393"/>
        <v>6140</v>
      </c>
      <c r="DL131" s="94">
        <f t="shared" si="394"/>
        <v>2949</v>
      </c>
      <c r="DM131" s="94">
        <f t="shared" si="394"/>
        <v>4729</v>
      </c>
      <c r="DN131" s="94">
        <f t="shared" si="394"/>
        <v>6352</v>
      </c>
      <c r="DO131" s="94">
        <f t="shared" si="394"/>
        <v>3048</v>
      </c>
      <c r="DP131" s="94">
        <f t="shared" si="394"/>
        <v>4518</v>
      </c>
      <c r="DQ131" s="94">
        <f t="shared" si="394"/>
        <v>5967</v>
      </c>
      <c r="DR131" s="94">
        <f t="shared" si="394"/>
        <v>2825</v>
      </c>
      <c r="DS131" s="94">
        <f t="shared" si="394"/>
        <v>4195</v>
      </c>
      <c r="DT131" s="94">
        <f t="shared" si="394"/>
        <v>5519</v>
      </c>
      <c r="DU131" s="94">
        <f t="shared" si="394"/>
        <v>2538</v>
      </c>
      <c r="DV131" s="94">
        <f t="shared" si="395"/>
        <v>3779</v>
      </c>
      <c r="DW131" s="94">
        <f t="shared" si="395"/>
        <v>5036</v>
      </c>
      <c r="DX131" s="94">
        <f t="shared" si="395"/>
        <v>2490</v>
      </c>
      <c r="DY131" s="94">
        <f t="shared" si="395"/>
        <v>3730</v>
      </c>
      <c r="DZ131" s="94">
        <f t="shared" si="395"/>
        <v>4983</v>
      </c>
      <c r="EA131" s="94">
        <f t="shared" si="395"/>
        <v>2391</v>
      </c>
      <c r="EB131" s="94">
        <f t="shared" si="395"/>
        <v>3306</v>
      </c>
      <c r="EC131" s="94">
        <f t="shared" si="395"/>
        <v>5038</v>
      </c>
      <c r="ED131" s="94">
        <f t="shared" si="395"/>
        <v>1864</v>
      </c>
      <c r="EE131" s="94">
        <f t="shared" si="395"/>
        <v>2824</v>
      </c>
      <c r="EF131" s="94">
        <f t="shared" si="396"/>
        <v>3749</v>
      </c>
      <c r="EG131" s="94">
        <f t="shared" si="396"/>
        <v>1914</v>
      </c>
      <c r="EH131" s="94">
        <f t="shared" si="396"/>
        <v>2995</v>
      </c>
      <c r="EI131" s="94">
        <f t="shared" si="396"/>
        <v>3996</v>
      </c>
      <c r="EJ131" s="94">
        <f t="shared" si="396"/>
        <v>2280</v>
      </c>
      <c r="EK131" s="94">
        <f t="shared" si="396"/>
        <v>3296</v>
      </c>
      <c r="EL131" s="94">
        <f t="shared" si="396"/>
        <v>4178</v>
      </c>
    </row>
    <row r="132" spans="2:142" x14ac:dyDescent="0.3">
      <c r="B132" s="129" t="s">
        <v>586</v>
      </c>
      <c r="C132" s="129" t="s">
        <v>458</v>
      </c>
      <c r="D132" s="183" t="str">
        <f>IF(Menu!$D$12="PT",'Dados Financeiros'!B132,'Dados Financeiros'!C132)</f>
        <v>Baixa de imobilizado / intangível - FCX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261</v>
      </c>
      <c r="S132" s="4">
        <v>3303</v>
      </c>
      <c r="T132" s="4">
        <v>4287</v>
      </c>
      <c r="U132" s="4">
        <v>3058</v>
      </c>
      <c r="V132" s="4">
        <v>9395</v>
      </c>
      <c r="W132" s="4">
        <v>141</v>
      </c>
      <c r="X132" s="4">
        <v>2689</v>
      </c>
      <c r="Y132" s="4">
        <v>4447</v>
      </c>
      <c r="Z132" s="4">
        <v>4157</v>
      </c>
      <c r="AA132" s="4">
        <v>3852</v>
      </c>
      <c r="AB132" s="4">
        <v>4489</v>
      </c>
      <c r="AC132" s="4">
        <v>1358</v>
      </c>
      <c r="AD132" s="4">
        <v>2862</v>
      </c>
      <c r="AE132" s="4">
        <v>11674</v>
      </c>
      <c r="AF132" s="4">
        <v>12111</v>
      </c>
      <c r="AG132" s="4">
        <v>422</v>
      </c>
      <c r="AH132" s="4">
        <v>107</v>
      </c>
      <c r="AI132" s="4">
        <v>1304</v>
      </c>
      <c r="AJ132" s="4">
        <v>2271</v>
      </c>
      <c r="AK132" s="4">
        <v>1432</v>
      </c>
      <c r="AL132" s="4">
        <v>473</v>
      </c>
      <c r="AM132" s="4">
        <v>638</v>
      </c>
      <c r="AN132" s="4">
        <v>544</v>
      </c>
      <c r="AO132" s="4">
        <v>139</v>
      </c>
      <c r="AP132" s="4">
        <v>3722</v>
      </c>
      <c r="AQ132" s="4">
        <v>522</v>
      </c>
      <c r="AR132" s="4">
        <v>7547</v>
      </c>
      <c r="AS132" s="4">
        <v>109</v>
      </c>
      <c r="AT132" s="4">
        <v>233</v>
      </c>
      <c r="AU132" s="4">
        <v>1275</v>
      </c>
      <c r="AV132" s="4">
        <v>425</v>
      </c>
      <c r="AW132" s="4">
        <v>1</v>
      </c>
      <c r="AX132" s="4">
        <v>5034</v>
      </c>
      <c r="AY132" s="4">
        <v>2501</v>
      </c>
      <c r="AZ132" s="4">
        <v>30</v>
      </c>
      <c r="BA132" s="4">
        <v>0</v>
      </c>
      <c r="BB132" s="4">
        <v>4957</v>
      </c>
      <c r="BC132" s="4">
        <v>323</v>
      </c>
      <c r="BD132" s="4">
        <v>166</v>
      </c>
      <c r="BE132" s="4">
        <v>0</v>
      </c>
      <c r="BF132" s="4">
        <v>3</v>
      </c>
      <c r="BG132" s="4">
        <v>2185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930</v>
      </c>
      <c r="BN132" s="4">
        <v>0</v>
      </c>
      <c r="BO132" s="4">
        <v>1773</v>
      </c>
      <c r="BP132" s="4">
        <f>2061+178-BO132-BN132-BM132</f>
        <v>-464</v>
      </c>
      <c r="BQ132" s="4">
        <v>423</v>
      </c>
      <c r="BR132" s="4">
        <v>2426</v>
      </c>
      <c r="BS132" s="4">
        <v>27</v>
      </c>
      <c r="BT132" s="4">
        <v>2063</v>
      </c>
      <c r="BU132" s="4">
        <v>611</v>
      </c>
      <c r="BV132" s="4">
        <v>0</v>
      </c>
      <c r="BW132" s="4">
        <v>4</v>
      </c>
      <c r="BX132" s="4">
        <v>1553</v>
      </c>
      <c r="BY132" s="4">
        <v>0</v>
      </c>
      <c r="BZ132" s="4">
        <v>0</v>
      </c>
      <c r="CA132" s="4">
        <v>1028</v>
      </c>
      <c r="CB132" s="4">
        <v>400</v>
      </c>
      <c r="CC132" s="4">
        <v>11</v>
      </c>
      <c r="CD132" s="4">
        <v>0</v>
      </c>
      <c r="CE132" s="4">
        <v>401</v>
      </c>
      <c r="CF132" s="4">
        <v>0</v>
      </c>
      <c r="CH132" s="94">
        <f t="shared" si="391"/>
        <v>0</v>
      </c>
      <c r="CI132" s="94">
        <f t="shared" si="391"/>
        <v>0</v>
      </c>
      <c r="CJ132" s="94">
        <f t="shared" si="391"/>
        <v>0</v>
      </c>
      <c r="CK132" s="94">
        <f t="shared" si="391"/>
        <v>0</v>
      </c>
      <c r="CL132" s="94">
        <f t="shared" si="391"/>
        <v>0</v>
      </c>
      <c r="CM132" s="94">
        <f t="shared" si="391"/>
        <v>0</v>
      </c>
      <c r="CN132" s="94">
        <f t="shared" si="391"/>
        <v>0</v>
      </c>
      <c r="CO132" s="94">
        <f t="shared" si="391"/>
        <v>0</v>
      </c>
      <c r="CP132" s="94">
        <f t="shared" si="391"/>
        <v>0</v>
      </c>
      <c r="CQ132" s="94">
        <f t="shared" si="391"/>
        <v>261</v>
      </c>
      <c r="CR132" s="94">
        <f t="shared" si="392"/>
        <v>3564</v>
      </c>
      <c r="CS132" s="94">
        <f t="shared" si="392"/>
        <v>7851</v>
      </c>
      <c r="CT132" s="94">
        <f t="shared" si="392"/>
        <v>12453</v>
      </c>
      <c r="CU132" s="94">
        <f t="shared" si="392"/>
        <v>12594</v>
      </c>
      <c r="CV132" s="94">
        <f t="shared" si="392"/>
        <v>15283</v>
      </c>
      <c r="CW132" s="94">
        <f t="shared" si="392"/>
        <v>8646</v>
      </c>
      <c r="CX132" s="94">
        <f t="shared" si="392"/>
        <v>11508</v>
      </c>
      <c r="CY132" s="94">
        <f t="shared" si="392"/>
        <v>23619</v>
      </c>
      <c r="CZ132" s="94">
        <f t="shared" si="392"/>
        <v>529</v>
      </c>
      <c r="DA132" s="94">
        <f t="shared" si="392"/>
        <v>1833</v>
      </c>
      <c r="DB132" s="94">
        <f t="shared" si="393"/>
        <v>4104</v>
      </c>
      <c r="DC132" s="94">
        <f t="shared" si="393"/>
        <v>1905</v>
      </c>
      <c r="DD132" s="94">
        <f t="shared" si="393"/>
        <v>2543</v>
      </c>
      <c r="DE132" s="94">
        <f t="shared" si="393"/>
        <v>3087</v>
      </c>
      <c r="DF132" s="94">
        <f t="shared" si="393"/>
        <v>3861</v>
      </c>
      <c r="DG132" s="94">
        <f t="shared" si="393"/>
        <v>4383</v>
      </c>
      <c r="DH132" s="94">
        <f t="shared" si="393"/>
        <v>11930</v>
      </c>
      <c r="DI132" s="94">
        <f t="shared" si="393"/>
        <v>342</v>
      </c>
      <c r="DJ132" s="94">
        <f t="shared" si="393"/>
        <v>1617</v>
      </c>
      <c r="DK132" s="94">
        <f t="shared" si="393"/>
        <v>2042</v>
      </c>
      <c r="DL132" s="94">
        <f t="shared" si="394"/>
        <v>5035</v>
      </c>
      <c r="DM132" s="94">
        <f t="shared" si="394"/>
        <v>7536</v>
      </c>
      <c r="DN132" s="94">
        <f t="shared" si="394"/>
        <v>7566</v>
      </c>
      <c r="DO132" s="94">
        <f t="shared" si="394"/>
        <v>4957</v>
      </c>
      <c r="DP132" s="94">
        <f t="shared" si="394"/>
        <v>5280</v>
      </c>
      <c r="DQ132" s="94">
        <f t="shared" si="394"/>
        <v>5446</v>
      </c>
      <c r="DR132" s="94">
        <f t="shared" si="394"/>
        <v>3</v>
      </c>
      <c r="DS132" s="94">
        <f t="shared" si="394"/>
        <v>2188</v>
      </c>
      <c r="DT132" s="94">
        <f t="shared" si="394"/>
        <v>2188</v>
      </c>
      <c r="DU132" s="94">
        <f t="shared" si="394"/>
        <v>0</v>
      </c>
      <c r="DV132" s="94">
        <f t="shared" si="395"/>
        <v>0</v>
      </c>
      <c r="DW132" s="94">
        <f t="shared" si="395"/>
        <v>0</v>
      </c>
      <c r="DX132" s="94">
        <f t="shared" si="395"/>
        <v>930</v>
      </c>
      <c r="DY132" s="94">
        <f t="shared" si="395"/>
        <v>2703</v>
      </c>
      <c r="DZ132" s="94">
        <f t="shared" si="395"/>
        <v>2239</v>
      </c>
      <c r="EA132" s="94">
        <f t="shared" si="395"/>
        <v>2849</v>
      </c>
      <c r="EB132" s="94">
        <f t="shared" si="395"/>
        <v>2876</v>
      </c>
      <c r="EC132" s="94">
        <f t="shared" si="395"/>
        <v>4939</v>
      </c>
      <c r="ED132" s="94">
        <f t="shared" si="395"/>
        <v>611</v>
      </c>
      <c r="EE132" s="94">
        <f t="shared" si="395"/>
        <v>615</v>
      </c>
      <c r="EF132" s="94">
        <f t="shared" si="396"/>
        <v>2168</v>
      </c>
      <c r="EG132" s="94">
        <f t="shared" si="396"/>
        <v>0</v>
      </c>
      <c r="EH132" s="94">
        <f t="shared" si="396"/>
        <v>1028</v>
      </c>
      <c r="EI132" s="94">
        <f t="shared" si="396"/>
        <v>1428</v>
      </c>
      <c r="EJ132" s="94">
        <f t="shared" si="396"/>
        <v>11</v>
      </c>
      <c r="EK132" s="94">
        <f t="shared" si="396"/>
        <v>412</v>
      </c>
      <c r="EL132" s="94">
        <f t="shared" si="396"/>
        <v>412</v>
      </c>
    </row>
    <row r="133" spans="2:142" x14ac:dyDescent="0.3">
      <c r="B133" s="129" t="s">
        <v>587</v>
      </c>
      <c r="C133" s="129" t="s">
        <v>459</v>
      </c>
      <c r="D133" s="183" t="str">
        <f>IF(Menu!$D$12="PT",'Dados Financeiros'!B133,'Dados Financeiros'!C133)</f>
        <v>Equivalência patrimonial - FCX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>
        <v>6622</v>
      </c>
      <c r="AA133" s="4"/>
      <c r="AB133" s="4">
        <v>-9871</v>
      </c>
      <c r="AC133" s="4"/>
      <c r="AD133" s="4">
        <v>62</v>
      </c>
      <c r="AE133" s="4"/>
      <c r="AF133" s="4">
        <v>2061</v>
      </c>
      <c r="AG133" s="4">
        <v>-11384</v>
      </c>
      <c r="AH133" s="4">
        <v>-15305</v>
      </c>
      <c r="AI133" s="4">
        <v>-14872</v>
      </c>
      <c r="AJ133" s="4">
        <v>-19640</v>
      </c>
      <c r="AK133" s="4">
        <v>-10192</v>
      </c>
      <c r="AL133" s="4">
        <v>-3624</v>
      </c>
      <c r="AM133" s="4">
        <v>-12128</v>
      </c>
      <c r="AN133" s="4">
        <v>-4257</v>
      </c>
      <c r="AO133" s="4">
        <v>-6144</v>
      </c>
      <c r="AP133" s="4">
        <v>-1687</v>
      </c>
      <c r="AQ133" s="4">
        <v>-2679</v>
      </c>
      <c r="AR133" s="4">
        <v>25149</v>
      </c>
      <c r="AS133" s="4">
        <v>-19496</v>
      </c>
      <c r="AT133" s="4">
        <v>23395</v>
      </c>
      <c r="AU133" s="4">
        <v>9257</v>
      </c>
      <c r="AV133" s="4">
        <v>37598</v>
      </c>
      <c r="AW133" s="4">
        <v>8010</v>
      </c>
      <c r="AX133" s="4">
        <v>8687</v>
      </c>
      <c r="AY133" s="4">
        <v>4264</v>
      </c>
      <c r="AZ133" s="4">
        <v>-10115</v>
      </c>
      <c r="BA133" s="4">
        <v>-956</v>
      </c>
      <c r="BB133" s="4">
        <v>-8636</v>
      </c>
      <c r="BC133" s="4">
        <v>9643</v>
      </c>
      <c r="BD133" s="4">
        <v>1986</v>
      </c>
      <c r="BE133" s="4">
        <v>-11395</v>
      </c>
      <c r="BF133" s="4">
        <v>-7672</v>
      </c>
      <c r="BG133" s="4">
        <v>-13988</v>
      </c>
      <c r="BH133" s="4">
        <v>-10490</v>
      </c>
      <c r="BI133" s="4">
        <v>-8125</v>
      </c>
      <c r="BJ133" s="4">
        <v>-1459</v>
      </c>
      <c r="BK133" s="4">
        <v>-15827</v>
      </c>
      <c r="BL133" s="4">
        <v>-20011</v>
      </c>
      <c r="BM133" s="4">
        <v>-14300</v>
      </c>
      <c r="BN133" s="4">
        <v>-16329</v>
      </c>
      <c r="BO133" s="4">
        <v>-1778</v>
      </c>
      <c r="BP133" s="4">
        <f>-32951-BO133-BN133-BM133</f>
        <v>-544</v>
      </c>
      <c r="BQ133" s="4">
        <v>-19500</v>
      </c>
      <c r="BR133" s="4">
        <v>-9080</v>
      </c>
      <c r="BS133" s="4">
        <v>-3760</v>
      </c>
      <c r="BT133" s="4">
        <v>3565</v>
      </c>
      <c r="BU133" s="4">
        <v>-1330</v>
      </c>
      <c r="BV133" s="4">
        <v>-4579</v>
      </c>
      <c r="BW133" s="4">
        <v>-5190</v>
      </c>
      <c r="BX133" s="4">
        <v>-12402</v>
      </c>
      <c r="BY133" s="4">
        <v>-5646</v>
      </c>
      <c r="BZ133" s="4">
        <v>-14627</v>
      </c>
      <c r="CA133" s="4">
        <v>-14370</v>
      </c>
      <c r="CB133" s="4">
        <v>-25045</v>
      </c>
      <c r="CC133" s="4">
        <v>-27069</v>
      </c>
      <c r="CD133" s="4">
        <v>-9032</v>
      </c>
      <c r="CE133" s="4">
        <v>-29173</v>
      </c>
      <c r="CF133" s="4">
        <v>-41285</v>
      </c>
      <c r="CH133" s="94">
        <f t="shared" si="391"/>
        <v>0</v>
      </c>
      <c r="CI133" s="94">
        <f t="shared" si="391"/>
        <v>0</v>
      </c>
      <c r="CJ133" s="94">
        <f t="shared" si="391"/>
        <v>0</v>
      </c>
      <c r="CK133" s="94">
        <f t="shared" si="391"/>
        <v>0</v>
      </c>
      <c r="CL133" s="94">
        <f t="shared" si="391"/>
        <v>0</v>
      </c>
      <c r="CM133" s="94">
        <f t="shared" si="391"/>
        <v>0</v>
      </c>
      <c r="CN133" s="94">
        <f t="shared" si="391"/>
        <v>0</v>
      </c>
      <c r="CO133" s="94">
        <f t="shared" si="391"/>
        <v>0</v>
      </c>
      <c r="CP133" s="94">
        <f t="shared" si="391"/>
        <v>0</v>
      </c>
      <c r="CQ133" s="94">
        <f t="shared" si="391"/>
        <v>0</v>
      </c>
      <c r="CR133" s="94">
        <f t="shared" si="392"/>
        <v>0</v>
      </c>
      <c r="CS133" s="94">
        <f t="shared" si="392"/>
        <v>0</v>
      </c>
      <c r="CT133" s="94">
        <f t="shared" si="392"/>
        <v>0</v>
      </c>
      <c r="CU133" s="94">
        <f t="shared" si="392"/>
        <v>0</v>
      </c>
      <c r="CV133" s="94">
        <f t="shared" si="392"/>
        <v>0</v>
      </c>
      <c r="CW133" s="94">
        <f t="shared" si="392"/>
        <v>-3249</v>
      </c>
      <c r="CX133" s="94">
        <f t="shared" si="392"/>
        <v>-3187</v>
      </c>
      <c r="CY133" s="94">
        <f t="shared" si="392"/>
        <v>-1126</v>
      </c>
      <c r="CZ133" s="94">
        <f t="shared" si="392"/>
        <v>-26689</v>
      </c>
      <c r="DA133" s="94">
        <f t="shared" si="392"/>
        <v>-41561</v>
      </c>
      <c r="DB133" s="94">
        <f t="shared" si="393"/>
        <v>-61201</v>
      </c>
      <c r="DC133" s="94">
        <f t="shared" si="393"/>
        <v>-13816</v>
      </c>
      <c r="DD133" s="94">
        <f t="shared" si="393"/>
        <v>-25944</v>
      </c>
      <c r="DE133" s="94">
        <f t="shared" si="393"/>
        <v>-30201</v>
      </c>
      <c r="DF133" s="94">
        <f t="shared" si="393"/>
        <v>-7831</v>
      </c>
      <c r="DG133" s="94">
        <f t="shared" si="393"/>
        <v>-10510</v>
      </c>
      <c r="DH133" s="94">
        <f t="shared" si="393"/>
        <v>14639</v>
      </c>
      <c r="DI133" s="94">
        <f t="shared" si="393"/>
        <v>3899</v>
      </c>
      <c r="DJ133" s="94">
        <f t="shared" si="393"/>
        <v>13156</v>
      </c>
      <c r="DK133" s="94">
        <f t="shared" si="393"/>
        <v>50754</v>
      </c>
      <c r="DL133" s="94">
        <f t="shared" si="394"/>
        <v>16697</v>
      </c>
      <c r="DM133" s="94">
        <f t="shared" si="394"/>
        <v>20961</v>
      </c>
      <c r="DN133" s="94">
        <f t="shared" si="394"/>
        <v>10846</v>
      </c>
      <c r="DO133" s="94">
        <f t="shared" si="394"/>
        <v>-9592</v>
      </c>
      <c r="DP133" s="94">
        <f t="shared" si="394"/>
        <v>51</v>
      </c>
      <c r="DQ133" s="94">
        <f t="shared" si="394"/>
        <v>2037</v>
      </c>
      <c r="DR133" s="94">
        <f t="shared" si="394"/>
        <v>-19067</v>
      </c>
      <c r="DS133" s="94">
        <f t="shared" si="394"/>
        <v>-33055</v>
      </c>
      <c r="DT133" s="94">
        <f t="shared" si="394"/>
        <v>-43545</v>
      </c>
      <c r="DU133" s="94">
        <f t="shared" si="394"/>
        <v>-9584</v>
      </c>
      <c r="DV133" s="94">
        <f t="shared" si="395"/>
        <v>-25411</v>
      </c>
      <c r="DW133" s="94">
        <f t="shared" si="395"/>
        <v>-45422</v>
      </c>
      <c r="DX133" s="94">
        <f t="shared" si="395"/>
        <v>-30629</v>
      </c>
      <c r="DY133" s="94">
        <f t="shared" si="395"/>
        <v>-32407</v>
      </c>
      <c r="DZ133" s="94">
        <f t="shared" si="395"/>
        <v>-32951</v>
      </c>
      <c r="EA133" s="94">
        <f t="shared" si="395"/>
        <v>-28580</v>
      </c>
      <c r="EB133" s="94">
        <f t="shared" si="395"/>
        <v>-32340</v>
      </c>
      <c r="EC133" s="94">
        <f t="shared" si="395"/>
        <v>-28775</v>
      </c>
      <c r="ED133" s="94">
        <f t="shared" si="395"/>
        <v>-5909</v>
      </c>
      <c r="EE133" s="94">
        <f t="shared" si="395"/>
        <v>-11099</v>
      </c>
      <c r="EF133" s="94">
        <f t="shared" si="396"/>
        <v>-23501</v>
      </c>
      <c r="EG133" s="94">
        <f t="shared" si="396"/>
        <v>-20273</v>
      </c>
      <c r="EH133" s="94">
        <f t="shared" si="396"/>
        <v>-34643</v>
      </c>
      <c r="EI133" s="94">
        <f t="shared" si="396"/>
        <v>-59688</v>
      </c>
      <c r="EJ133" s="94">
        <f t="shared" si="396"/>
        <v>-36101</v>
      </c>
      <c r="EK133" s="94">
        <f t="shared" si="396"/>
        <v>-65274</v>
      </c>
      <c r="EL133" s="94">
        <f t="shared" si="396"/>
        <v>-106559</v>
      </c>
    </row>
    <row r="134" spans="2:142" x14ac:dyDescent="0.3">
      <c r="B134" s="129"/>
      <c r="C134" s="129"/>
      <c r="D134" s="187" t="s">
        <v>772</v>
      </c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  <c r="AI134" s="94"/>
      <c r="AJ134" s="94"/>
      <c r="AK134" s="94"/>
      <c r="AL134" s="94"/>
      <c r="AM134" s="94"/>
      <c r="AN134" s="94"/>
      <c r="AO134" s="94"/>
      <c r="AP134" s="94"/>
      <c r="AQ134" s="94"/>
      <c r="AR134" s="94"/>
      <c r="AS134" s="94"/>
      <c r="AT134" s="94"/>
      <c r="AU134" s="94"/>
      <c r="AV134" s="94"/>
      <c r="AW134" s="94"/>
      <c r="AX134" s="94"/>
      <c r="AY134" s="94"/>
      <c r="AZ134" s="94"/>
      <c r="BA134" s="94"/>
      <c r="BB134" s="94"/>
      <c r="BC134" s="94"/>
      <c r="BD134" s="94"/>
      <c r="BE134" s="94"/>
      <c r="BF134" s="94"/>
      <c r="BG134" s="94"/>
      <c r="BH134" s="94"/>
      <c r="BI134" s="94"/>
      <c r="BJ134" s="94"/>
      <c r="BK134" s="94"/>
      <c r="BL134" s="94"/>
      <c r="BM134" s="94"/>
      <c r="BN134" s="94"/>
      <c r="BO134" s="94"/>
      <c r="BP134" s="94"/>
      <c r="BQ134" s="94"/>
      <c r="BR134" s="94"/>
      <c r="BS134" s="94"/>
      <c r="BT134" s="94"/>
      <c r="BU134" s="94"/>
      <c r="BV134" s="94"/>
      <c r="BW134" s="94"/>
      <c r="BX134" s="4">
        <v>12743</v>
      </c>
      <c r="BY134" s="4">
        <v>0</v>
      </c>
      <c r="BZ134" s="4">
        <v>0</v>
      </c>
      <c r="CA134" s="4">
        <v>0</v>
      </c>
      <c r="CB134" s="4">
        <v>0</v>
      </c>
      <c r="CC134" s="4">
        <v>0</v>
      </c>
      <c r="CD134" s="4">
        <v>0</v>
      </c>
      <c r="CE134" s="4">
        <v>0</v>
      </c>
      <c r="CF134" s="4">
        <v>0</v>
      </c>
      <c r="CH134" s="94"/>
      <c r="CI134" s="94"/>
      <c r="CJ134" s="94"/>
      <c r="CK134" s="94"/>
      <c r="CL134" s="94"/>
      <c r="CM134" s="94"/>
      <c r="CN134" s="94"/>
      <c r="CO134" s="94"/>
      <c r="CP134" s="94"/>
      <c r="CQ134" s="94"/>
      <c r="CR134" s="94"/>
      <c r="CS134" s="94"/>
      <c r="CT134" s="94"/>
      <c r="CU134" s="94"/>
      <c r="CV134" s="94"/>
      <c r="CW134" s="94"/>
      <c r="CX134" s="94"/>
      <c r="CY134" s="94"/>
      <c r="CZ134" s="94"/>
      <c r="DA134" s="94"/>
      <c r="DB134" s="94"/>
      <c r="DC134" s="94"/>
      <c r="DD134" s="94"/>
      <c r="DE134" s="94"/>
      <c r="DF134" s="94"/>
      <c r="DG134" s="94"/>
      <c r="DH134" s="94"/>
      <c r="DI134" s="94"/>
      <c r="DJ134" s="94"/>
      <c r="DK134" s="94"/>
      <c r="DL134" s="94"/>
      <c r="DM134" s="94"/>
      <c r="DN134" s="94"/>
      <c r="DO134" s="94"/>
      <c r="DP134" s="94"/>
      <c r="DQ134" s="94"/>
      <c r="DR134" s="94"/>
      <c r="DS134" s="94"/>
      <c r="DT134" s="94"/>
      <c r="DU134" s="94"/>
      <c r="DV134" s="94"/>
      <c r="DW134" s="94"/>
      <c r="DX134" s="94"/>
      <c r="DY134" s="94"/>
      <c r="DZ134" s="94"/>
      <c r="EA134" s="94"/>
      <c r="EB134" s="94"/>
      <c r="EC134" s="94"/>
      <c r="ED134" s="94"/>
      <c r="EE134" s="94"/>
      <c r="EF134" s="94"/>
      <c r="EG134" s="94"/>
      <c r="EH134" s="94"/>
      <c r="EI134" s="94"/>
      <c r="EJ134" s="94"/>
      <c r="EK134" s="94"/>
      <c r="EL134" s="94"/>
    </row>
    <row r="135" spans="2:142" x14ac:dyDescent="0.3">
      <c r="B135" s="129" t="s">
        <v>588</v>
      </c>
      <c r="C135" s="129" t="s">
        <v>460</v>
      </c>
      <c r="D135" s="183" t="str">
        <f>IF(Menu!$D$12="PT",'Dados Financeiros'!B135,'Dados Financeiros'!C135)</f>
        <v>Remuneração baseada em acões - FCX</v>
      </c>
      <c r="E135" s="4">
        <v>0</v>
      </c>
      <c r="F135" s="4">
        <v>0</v>
      </c>
      <c r="G135" s="4">
        <v>0</v>
      </c>
      <c r="H135" s="4">
        <v>0</v>
      </c>
      <c r="I135" s="4">
        <v>453</v>
      </c>
      <c r="J135" s="4">
        <v>220</v>
      </c>
      <c r="K135" s="4">
        <v>370</v>
      </c>
      <c r="L135" s="4">
        <v>500</v>
      </c>
      <c r="M135" s="4">
        <v>501</v>
      </c>
      <c r="N135" s="4">
        <v>502</v>
      </c>
      <c r="O135" s="4">
        <v>604</v>
      </c>
      <c r="P135" s="4">
        <v>883</v>
      </c>
      <c r="Q135" s="4">
        <v>883</v>
      </c>
      <c r="R135" s="4">
        <v>836</v>
      </c>
      <c r="S135" s="4">
        <v>663</v>
      </c>
      <c r="T135" s="4">
        <v>2478</v>
      </c>
      <c r="U135" s="4">
        <v>2477</v>
      </c>
      <c r="V135" s="4">
        <v>2421</v>
      </c>
      <c r="W135" s="4">
        <v>1111</v>
      </c>
      <c r="X135" s="4">
        <v>884</v>
      </c>
      <c r="Y135" s="4">
        <v>925</v>
      </c>
      <c r="Z135" s="4">
        <v>925</v>
      </c>
      <c r="AA135" s="4">
        <v>828</v>
      </c>
      <c r="AB135" s="4">
        <v>828</v>
      </c>
      <c r="AC135" s="4">
        <v>828</v>
      </c>
      <c r="AD135" s="4">
        <v>828</v>
      </c>
      <c r="AE135" s="4">
        <v>755</v>
      </c>
      <c r="AF135" s="4">
        <v>755</v>
      </c>
      <c r="AG135" s="4">
        <v>2083</v>
      </c>
      <c r="AH135" s="4">
        <v>2048</v>
      </c>
      <c r="AI135" s="4">
        <v>2024</v>
      </c>
      <c r="AJ135" s="4">
        <v>1142</v>
      </c>
      <c r="AK135" s="4">
        <v>2912</v>
      </c>
      <c r="AL135" s="4">
        <v>2564</v>
      </c>
      <c r="AM135" s="4">
        <v>2412</v>
      </c>
      <c r="AN135" s="4">
        <v>856</v>
      </c>
      <c r="AO135" s="4">
        <v>4289</v>
      </c>
      <c r="AP135" s="4">
        <v>5715</v>
      </c>
      <c r="AQ135" s="4">
        <v>1693</v>
      </c>
      <c r="AR135" s="4">
        <v>-6644</v>
      </c>
      <c r="AS135" s="4">
        <v>6</v>
      </c>
      <c r="AT135" s="4">
        <v>5</v>
      </c>
      <c r="AU135" s="4">
        <v>4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M135" s="4">
        <v>0</v>
      </c>
      <c r="BN135" s="4">
        <v>0</v>
      </c>
      <c r="BO135" s="4">
        <v>0</v>
      </c>
      <c r="BP135" s="4">
        <v>0</v>
      </c>
      <c r="BQ135" s="4">
        <v>0</v>
      </c>
      <c r="BR135" s="4">
        <v>0</v>
      </c>
      <c r="BS135" s="4">
        <v>0</v>
      </c>
      <c r="BT135" s="4">
        <v>0</v>
      </c>
      <c r="BU135" s="4">
        <v>0</v>
      </c>
      <c r="BV135" s="4">
        <v>0</v>
      </c>
      <c r="BW135" s="4">
        <v>0</v>
      </c>
      <c r="BX135" s="4">
        <v>0</v>
      </c>
      <c r="BY135" s="4">
        <v>0</v>
      </c>
      <c r="BZ135" s="4">
        <v>0</v>
      </c>
      <c r="CA135" s="4">
        <v>0</v>
      </c>
      <c r="CB135" s="4">
        <v>0</v>
      </c>
      <c r="CC135" s="4">
        <v>0</v>
      </c>
      <c r="CD135" s="4">
        <v>0</v>
      </c>
      <c r="CE135" s="4">
        <v>0</v>
      </c>
      <c r="CF135" s="4">
        <v>0</v>
      </c>
      <c r="CH135" s="94">
        <f t="shared" ref="CH135:CQ145" si="397">SUMIF($B$1:$CG$1,"&lt;="&amp;VALUE(RIGHT(CH$2,2)&amp;IF(LEFT(CH$2,2)="1S",2,IF(LEFT(CH$2,2)="9M",3,4))),$B135:$CG135)-
SUMIF($B$1:$CG$1,"&lt;"&amp;VALUE(RIGHT(CH$2,2))&amp;"0",$B135:$CG135)</f>
        <v>0</v>
      </c>
      <c r="CI135" s="94">
        <f t="shared" si="397"/>
        <v>0</v>
      </c>
      <c r="CJ135" s="94">
        <f t="shared" si="397"/>
        <v>0</v>
      </c>
      <c r="CK135" s="94">
        <f t="shared" si="397"/>
        <v>673</v>
      </c>
      <c r="CL135" s="94">
        <f t="shared" si="397"/>
        <v>1043</v>
      </c>
      <c r="CM135" s="94">
        <f t="shared" si="397"/>
        <v>1543</v>
      </c>
      <c r="CN135" s="94">
        <f t="shared" si="397"/>
        <v>1003</v>
      </c>
      <c r="CO135" s="94">
        <f t="shared" si="397"/>
        <v>1607</v>
      </c>
      <c r="CP135" s="94">
        <f t="shared" si="397"/>
        <v>2490</v>
      </c>
      <c r="CQ135" s="94">
        <f t="shared" si="397"/>
        <v>1719</v>
      </c>
      <c r="CR135" s="94">
        <f t="shared" ref="CR135:DA145" si="398">SUMIF($B$1:$CG$1,"&lt;="&amp;VALUE(RIGHT(CR$2,2)&amp;IF(LEFT(CR$2,2)="1S",2,IF(LEFT(CR$2,2)="9M",3,4))),$B135:$CG135)-
SUMIF($B$1:$CG$1,"&lt;"&amp;VALUE(RIGHT(CR$2,2))&amp;"0",$B135:$CG135)</f>
        <v>2382</v>
      </c>
      <c r="CS135" s="94">
        <f t="shared" si="398"/>
        <v>4860</v>
      </c>
      <c r="CT135" s="94">
        <f t="shared" si="398"/>
        <v>4898</v>
      </c>
      <c r="CU135" s="94">
        <f t="shared" si="398"/>
        <v>6009</v>
      </c>
      <c r="CV135" s="94">
        <f t="shared" si="398"/>
        <v>6893</v>
      </c>
      <c r="CW135" s="94">
        <f t="shared" si="398"/>
        <v>1753</v>
      </c>
      <c r="CX135" s="94">
        <f t="shared" si="398"/>
        <v>2581</v>
      </c>
      <c r="CY135" s="94">
        <f t="shared" si="398"/>
        <v>3336</v>
      </c>
      <c r="CZ135" s="94">
        <f t="shared" si="398"/>
        <v>4131</v>
      </c>
      <c r="DA135" s="94">
        <f t="shared" si="398"/>
        <v>6155</v>
      </c>
      <c r="DB135" s="94">
        <f t="shared" ref="DB135:DK145" si="399">SUMIF($B$1:$CG$1,"&lt;="&amp;VALUE(RIGHT(DB$2,2)&amp;IF(LEFT(DB$2,2)="1S",2,IF(LEFT(DB$2,2)="9M",3,4))),$B135:$CG135)-
SUMIF($B$1:$CG$1,"&lt;"&amp;VALUE(RIGHT(DB$2,2))&amp;"0",$B135:$CG135)</f>
        <v>7297</v>
      </c>
      <c r="DC135" s="94">
        <f t="shared" si="399"/>
        <v>5476</v>
      </c>
      <c r="DD135" s="94">
        <f t="shared" si="399"/>
        <v>7888</v>
      </c>
      <c r="DE135" s="94">
        <f t="shared" si="399"/>
        <v>8744</v>
      </c>
      <c r="DF135" s="94">
        <f t="shared" si="399"/>
        <v>10004</v>
      </c>
      <c r="DG135" s="94">
        <f t="shared" si="399"/>
        <v>11697</v>
      </c>
      <c r="DH135" s="94">
        <f t="shared" si="399"/>
        <v>5053</v>
      </c>
      <c r="DI135" s="94">
        <f t="shared" si="399"/>
        <v>11</v>
      </c>
      <c r="DJ135" s="94">
        <f t="shared" si="399"/>
        <v>15</v>
      </c>
      <c r="DK135" s="94">
        <f t="shared" si="399"/>
        <v>15</v>
      </c>
      <c r="DL135" s="94">
        <f t="shared" ref="DL135:DU145" si="400">SUMIF($B$1:$CG$1,"&lt;="&amp;VALUE(RIGHT(DL$2,2)&amp;IF(LEFT(DL$2,2)="1S",2,IF(LEFT(DL$2,2)="9M",3,4))),$B135:$CG135)-
SUMIF($B$1:$CG$1,"&lt;"&amp;VALUE(RIGHT(DL$2,2))&amp;"0",$B135:$CG135)</f>
        <v>0</v>
      </c>
      <c r="DM135" s="94">
        <f t="shared" si="400"/>
        <v>0</v>
      </c>
      <c r="DN135" s="94">
        <f t="shared" si="400"/>
        <v>0</v>
      </c>
      <c r="DO135" s="94">
        <f t="shared" si="400"/>
        <v>0</v>
      </c>
      <c r="DP135" s="94">
        <f t="shared" si="400"/>
        <v>0</v>
      </c>
      <c r="DQ135" s="94">
        <f t="shared" si="400"/>
        <v>0</v>
      </c>
      <c r="DR135" s="94">
        <f t="shared" si="400"/>
        <v>0</v>
      </c>
      <c r="DS135" s="94">
        <f t="shared" si="400"/>
        <v>0</v>
      </c>
      <c r="DT135" s="94">
        <f t="shared" si="400"/>
        <v>0</v>
      </c>
      <c r="DU135" s="94">
        <f t="shared" si="400"/>
        <v>0</v>
      </c>
      <c r="DV135" s="94">
        <f t="shared" ref="DV135:EE145" si="401">SUMIF($B$1:$CG$1,"&lt;="&amp;VALUE(RIGHT(DV$2,2)&amp;IF(LEFT(DV$2,2)="1S",2,IF(LEFT(DV$2,2)="9M",3,4))),$B135:$CG135)-
SUMIF($B$1:$CG$1,"&lt;"&amp;VALUE(RIGHT(DV$2,2))&amp;"0",$B135:$CG135)</f>
        <v>0</v>
      </c>
      <c r="DW135" s="94">
        <f t="shared" si="401"/>
        <v>0</v>
      </c>
      <c r="DX135" s="94">
        <f t="shared" si="401"/>
        <v>0</v>
      </c>
      <c r="DY135" s="94">
        <f t="shared" si="401"/>
        <v>0</v>
      </c>
      <c r="DZ135" s="94">
        <f t="shared" si="401"/>
        <v>0</v>
      </c>
      <c r="EA135" s="94">
        <f t="shared" si="401"/>
        <v>0</v>
      </c>
      <c r="EB135" s="94">
        <f t="shared" si="401"/>
        <v>0</v>
      </c>
      <c r="EC135" s="94">
        <f t="shared" si="401"/>
        <v>0</v>
      </c>
      <c r="ED135" s="94">
        <f t="shared" si="401"/>
        <v>0</v>
      </c>
      <c r="EE135" s="94">
        <f t="shared" si="401"/>
        <v>0</v>
      </c>
      <c r="EF135" s="94">
        <f t="shared" ref="EF135:EL145" si="402">SUMIF($B$1:$CG$1,"&lt;="&amp;VALUE(RIGHT(EF$2,2)&amp;IF(LEFT(EF$2,2)="1S",2,IF(LEFT(EF$2,2)="9M",3,4))),$B135:$CG135)-
SUMIF($B$1:$CG$1,"&lt;"&amp;VALUE(RIGHT(EF$2,2))&amp;"0",$B135:$CG135)</f>
        <v>0</v>
      </c>
      <c r="EG135" s="94">
        <f t="shared" si="402"/>
        <v>0</v>
      </c>
      <c r="EH135" s="94">
        <f t="shared" si="402"/>
        <v>0</v>
      </c>
      <c r="EI135" s="94">
        <f t="shared" si="402"/>
        <v>0</v>
      </c>
      <c r="EJ135" s="94">
        <f t="shared" si="402"/>
        <v>0</v>
      </c>
      <c r="EK135" s="94">
        <f t="shared" si="402"/>
        <v>0</v>
      </c>
      <c r="EL135" s="94">
        <f t="shared" si="402"/>
        <v>0</v>
      </c>
    </row>
    <row r="136" spans="2:142" x14ac:dyDescent="0.3">
      <c r="B136" s="129" t="s">
        <v>589</v>
      </c>
      <c r="C136" s="129" t="s">
        <v>461</v>
      </c>
      <c r="D136" s="183" t="str">
        <f>IF(Menu!$D$12="PT",'Dados Financeiros'!B136,'Dados Financeiros'!C136)</f>
        <v>Juros e encargos financeiros liquidos - FCX</v>
      </c>
      <c r="E136" s="4">
        <v>0</v>
      </c>
      <c r="F136" s="4">
        <v>0</v>
      </c>
      <c r="G136" s="4">
        <v>0</v>
      </c>
      <c r="H136" s="4">
        <v>0</v>
      </c>
      <c r="I136" s="4">
        <v>3152</v>
      </c>
      <c r="J136" s="4">
        <v>4420</v>
      </c>
      <c r="K136" s="4">
        <v>6697</v>
      </c>
      <c r="L136" s="4">
        <v>4497</v>
      </c>
      <c r="M136" s="4">
        <v>9113</v>
      </c>
      <c r="N136" s="4">
        <v>7763</v>
      </c>
      <c r="O136" s="4">
        <v>9391</v>
      </c>
      <c r="P136" s="4">
        <v>12431</v>
      </c>
      <c r="Q136" s="4">
        <v>27801</v>
      </c>
      <c r="R136" s="4">
        <v>33687</v>
      </c>
      <c r="S136" s="4">
        <v>34608</v>
      </c>
      <c r="T136" s="4">
        <v>18114</v>
      </c>
      <c r="U136" s="4">
        <v>41969</v>
      </c>
      <c r="V136" s="4">
        <v>74826</v>
      </c>
      <c r="W136" s="4">
        <v>34480</v>
      </c>
      <c r="X136" s="4">
        <v>38031</v>
      </c>
      <c r="Y136" s="4">
        <v>40832</v>
      </c>
      <c r="Z136" s="4">
        <v>36909</v>
      </c>
      <c r="AA136" s="4">
        <v>47072</v>
      </c>
      <c r="AB136" s="4">
        <v>43166</v>
      </c>
      <c r="AC136" s="4">
        <v>51287</v>
      </c>
      <c r="AD136" s="4">
        <v>48701</v>
      </c>
      <c r="AE136" s="4">
        <v>75142</v>
      </c>
      <c r="AF136" s="4">
        <v>70070</v>
      </c>
      <c r="AG136" s="4">
        <v>49491</v>
      </c>
      <c r="AH136" s="4">
        <v>62029</v>
      </c>
      <c r="AI136" s="4">
        <v>53162</v>
      </c>
      <c r="AJ136" s="4">
        <v>59111</v>
      </c>
      <c r="AK136" s="4">
        <v>57192</v>
      </c>
      <c r="AL136" s="4">
        <v>70196</v>
      </c>
      <c r="AM136" s="4">
        <v>61568</v>
      </c>
      <c r="AN136" s="4">
        <v>57548</v>
      </c>
      <c r="AO136" s="4">
        <v>62588</v>
      </c>
      <c r="AP136" s="4">
        <v>65028</v>
      </c>
      <c r="AQ136" s="4">
        <v>66532</v>
      </c>
      <c r="AR136" s="4">
        <v>-11507</v>
      </c>
      <c r="AS136" s="4">
        <v>69882</v>
      </c>
      <c r="AT136" s="4">
        <v>6942</v>
      </c>
      <c r="AU136" s="4">
        <v>34974</v>
      </c>
      <c r="AV136" s="4">
        <v>21163</v>
      </c>
      <c r="AW136" s="4">
        <v>33044</v>
      </c>
      <c r="AX136" s="4">
        <v>55225</v>
      </c>
      <c r="AY136" s="4">
        <v>19022</v>
      </c>
      <c r="AZ136" s="4">
        <v>27521</v>
      </c>
      <c r="BA136" s="4">
        <v>30801</v>
      </c>
      <c r="BB136" s="4">
        <v>19100</v>
      </c>
      <c r="BC136" s="4">
        <v>19274</v>
      </c>
      <c r="BD136" s="4">
        <v>26441</v>
      </c>
      <c r="BE136" s="4">
        <v>23154</v>
      </c>
      <c r="BF136" s="4">
        <v>18964</v>
      </c>
      <c r="BG136" s="4">
        <v>11029</v>
      </c>
      <c r="BH136" s="4">
        <v>15378</v>
      </c>
      <c r="BI136" s="4">
        <v>11899</v>
      </c>
      <c r="BJ136" s="4">
        <v>7292</v>
      </c>
      <c r="BK136" s="4">
        <v>9322</v>
      </c>
      <c r="BL136" s="4">
        <v>11621</v>
      </c>
      <c r="BM136" s="4">
        <v>14860</v>
      </c>
      <c r="BN136" s="4">
        <v>20357</v>
      </c>
      <c r="BO136" s="4">
        <v>25860</v>
      </c>
      <c r="BP136" s="4">
        <f>80270-BO136-BN136-BM136</f>
        <v>19193</v>
      </c>
      <c r="BQ136" s="4">
        <v>20015</v>
      </c>
      <c r="BR136" s="4">
        <v>14641</v>
      </c>
      <c r="BS136" s="4">
        <v>11171</v>
      </c>
      <c r="BT136" s="4">
        <v>9261</v>
      </c>
      <c r="BU136" s="4">
        <v>24061</v>
      </c>
      <c r="BV136" s="4">
        <v>19662</v>
      </c>
      <c r="BW136" s="4">
        <v>19288</v>
      </c>
      <c r="BX136" s="4">
        <v>25971</v>
      </c>
      <c r="BY136" s="4">
        <v>25147</v>
      </c>
      <c r="BZ136" s="4">
        <v>29649</v>
      </c>
      <c r="CA136" s="4">
        <v>24075</v>
      </c>
      <c r="CB136" s="4">
        <v>31789</v>
      </c>
      <c r="CC136" s="4">
        <v>23692</v>
      </c>
      <c r="CD136" s="4">
        <v>24011</v>
      </c>
      <c r="CE136" s="4">
        <v>28457</v>
      </c>
      <c r="CF136" s="4">
        <v>18640</v>
      </c>
      <c r="CH136" s="94">
        <f t="shared" si="397"/>
        <v>0</v>
      </c>
      <c r="CI136" s="94">
        <f t="shared" si="397"/>
        <v>0</v>
      </c>
      <c r="CJ136" s="94">
        <f t="shared" si="397"/>
        <v>0</v>
      </c>
      <c r="CK136" s="94">
        <f t="shared" si="397"/>
        <v>7572</v>
      </c>
      <c r="CL136" s="94">
        <f t="shared" si="397"/>
        <v>14269</v>
      </c>
      <c r="CM136" s="94">
        <f t="shared" si="397"/>
        <v>18766</v>
      </c>
      <c r="CN136" s="94">
        <f t="shared" si="397"/>
        <v>16876</v>
      </c>
      <c r="CO136" s="94">
        <f t="shared" si="397"/>
        <v>26267</v>
      </c>
      <c r="CP136" s="94">
        <f t="shared" si="397"/>
        <v>38698</v>
      </c>
      <c r="CQ136" s="94">
        <f t="shared" si="397"/>
        <v>61488</v>
      </c>
      <c r="CR136" s="94">
        <f t="shared" si="398"/>
        <v>96096</v>
      </c>
      <c r="CS136" s="94">
        <f t="shared" si="398"/>
        <v>114210</v>
      </c>
      <c r="CT136" s="94">
        <f t="shared" si="398"/>
        <v>116795</v>
      </c>
      <c r="CU136" s="94">
        <f t="shared" si="398"/>
        <v>151275</v>
      </c>
      <c r="CV136" s="94">
        <f t="shared" si="398"/>
        <v>189306</v>
      </c>
      <c r="CW136" s="94">
        <f t="shared" si="398"/>
        <v>80075</v>
      </c>
      <c r="CX136" s="94">
        <f t="shared" si="398"/>
        <v>128776</v>
      </c>
      <c r="CY136" s="94">
        <f t="shared" si="398"/>
        <v>198846</v>
      </c>
      <c r="CZ136" s="94">
        <f t="shared" si="398"/>
        <v>111520</v>
      </c>
      <c r="DA136" s="94">
        <f t="shared" si="398"/>
        <v>164682</v>
      </c>
      <c r="DB136" s="94">
        <f t="shared" si="399"/>
        <v>223793</v>
      </c>
      <c r="DC136" s="94">
        <f t="shared" si="399"/>
        <v>127388</v>
      </c>
      <c r="DD136" s="94">
        <f t="shared" si="399"/>
        <v>188956</v>
      </c>
      <c r="DE136" s="94">
        <f t="shared" si="399"/>
        <v>246504</v>
      </c>
      <c r="DF136" s="94">
        <f t="shared" si="399"/>
        <v>127616</v>
      </c>
      <c r="DG136" s="94">
        <f t="shared" si="399"/>
        <v>194148</v>
      </c>
      <c r="DH136" s="94">
        <f t="shared" si="399"/>
        <v>182641</v>
      </c>
      <c r="DI136" s="94">
        <f t="shared" si="399"/>
        <v>76824</v>
      </c>
      <c r="DJ136" s="94">
        <f t="shared" si="399"/>
        <v>111798</v>
      </c>
      <c r="DK136" s="94">
        <f t="shared" si="399"/>
        <v>132961</v>
      </c>
      <c r="DL136" s="94">
        <f t="shared" si="400"/>
        <v>88269</v>
      </c>
      <c r="DM136" s="94">
        <f t="shared" si="400"/>
        <v>107291</v>
      </c>
      <c r="DN136" s="94">
        <f t="shared" si="400"/>
        <v>134812</v>
      </c>
      <c r="DO136" s="94">
        <f t="shared" si="400"/>
        <v>49901</v>
      </c>
      <c r="DP136" s="94">
        <f t="shared" si="400"/>
        <v>69175</v>
      </c>
      <c r="DQ136" s="94">
        <f t="shared" si="400"/>
        <v>95616</v>
      </c>
      <c r="DR136" s="94">
        <f t="shared" si="400"/>
        <v>42118</v>
      </c>
      <c r="DS136" s="94">
        <f t="shared" si="400"/>
        <v>53147</v>
      </c>
      <c r="DT136" s="94">
        <f t="shared" si="400"/>
        <v>68525</v>
      </c>
      <c r="DU136" s="94">
        <f t="shared" si="400"/>
        <v>19191</v>
      </c>
      <c r="DV136" s="94">
        <f t="shared" si="401"/>
        <v>28513</v>
      </c>
      <c r="DW136" s="94">
        <f t="shared" si="401"/>
        <v>40134</v>
      </c>
      <c r="DX136" s="94">
        <f t="shared" si="401"/>
        <v>35217</v>
      </c>
      <c r="DY136" s="94">
        <f t="shared" si="401"/>
        <v>61077</v>
      </c>
      <c r="DZ136" s="94">
        <f t="shared" si="401"/>
        <v>80270</v>
      </c>
      <c r="EA136" s="94">
        <f t="shared" si="401"/>
        <v>34656</v>
      </c>
      <c r="EB136" s="94">
        <f t="shared" si="401"/>
        <v>45827</v>
      </c>
      <c r="EC136" s="94">
        <f t="shared" si="401"/>
        <v>55088</v>
      </c>
      <c r="ED136" s="94">
        <f t="shared" si="401"/>
        <v>43723</v>
      </c>
      <c r="EE136" s="94">
        <f t="shared" si="401"/>
        <v>63011</v>
      </c>
      <c r="EF136" s="94">
        <f t="shared" si="402"/>
        <v>88982</v>
      </c>
      <c r="EG136" s="94">
        <f t="shared" si="402"/>
        <v>54796</v>
      </c>
      <c r="EH136" s="94">
        <f t="shared" si="402"/>
        <v>78871</v>
      </c>
      <c r="EI136" s="94">
        <f t="shared" si="402"/>
        <v>110660</v>
      </c>
      <c r="EJ136" s="94">
        <f t="shared" si="402"/>
        <v>47703</v>
      </c>
      <c r="EK136" s="94">
        <f t="shared" si="402"/>
        <v>76160</v>
      </c>
      <c r="EL136" s="94">
        <f t="shared" si="402"/>
        <v>94800</v>
      </c>
    </row>
    <row r="137" spans="2:142" x14ac:dyDescent="0.3">
      <c r="B137" s="129" t="s">
        <v>625</v>
      </c>
      <c r="C137" s="129" t="s">
        <v>626</v>
      </c>
      <c r="D137" s="187" t="str">
        <f>IF(Menu!$D$12="PT",'Dados Financeiros'!B137,'Dados Financeiros'!C137)</f>
        <v>Rendimento de títulos e valores mobiliários não resgatados</v>
      </c>
      <c r="E137" s="94">
        <v>0</v>
      </c>
      <c r="F137" s="94">
        <v>0</v>
      </c>
      <c r="G137" s="94">
        <v>0</v>
      </c>
      <c r="H137" s="94">
        <v>0</v>
      </c>
      <c r="I137" s="94">
        <v>0</v>
      </c>
      <c r="J137" s="94">
        <v>0</v>
      </c>
      <c r="K137" s="94">
        <v>0</v>
      </c>
      <c r="L137" s="94">
        <v>0</v>
      </c>
      <c r="M137" s="94">
        <v>0</v>
      </c>
      <c r="N137" s="94">
        <v>0</v>
      </c>
      <c r="O137" s="94">
        <v>0</v>
      </c>
      <c r="P137" s="94">
        <v>0</v>
      </c>
      <c r="Q137" s="94">
        <v>0</v>
      </c>
      <c r="R137" s="94">
        <v>0</v>
      </c>
      <c r="S137" s="94">
        <v>0</v>
      </c>
      <c r="T137" s="94">
        <v>0</v>
      </c>
      <c r="U137" s="94">
        <v>0</v>
      </c>
      <c r="V137" s="94">
        <v>0</v>
      </c>
      <c r="W137" s="94">
        <v>0</v>
      </c>
      <c r="X137" s="94">
        <v>0</v>
      </c>
      <c r="Y137" s="94">
        <v>0</v>
      </c>
      <c r="Z137" s="94">
        <v>0</v>
      </c>
      <c r="AA137" s="94">
        <v>0</v>
      </c>
      <c r="AB137" s="94">
        <v>0</v>
      </c>
      <c r="AC137" s="94">
        <v>0</v>
      </c>
      <c r="AD137" s="94">
        <v>0</v>
      </c>
      <c r="AE137" s="94">
        <v>0</v>
      </c>
      <c r="AF137" s="94">
        <v>0</v>
      </c>
      <c r="AG137" s="94">
        <v>0</v>
      </c>
      <c r="AH137" s="94">
        <v>0</v>
      </c>
      <c r="AI137" s="94">
        <v>0</v>
      </c>
      <c r="AJ137" s="94">
        <v>0</v>
      </c>
      <c r="AK137" s="94">
        <v>0</v>
      </c>
      <c r="AL137" s="94">
        <v>0</v>
      </c>
      <c r="AM137" s="94">
        <v>0</v>
      </c>
      <c r="AN137" s="94">
        <v>0</v>
      </c>
      <c r="AO137" s="94">
        <v>0</v>
      </c>
      <c r="AP137" s="94">
        <v>0</v>
      </c>
      <c r="AQ137" s="94">
        <v>0</v>
      </c>
      <c r="AR137" s="94">
        <v>0</v>
      </c>
      <c r="AS137" s="94">
        <v>0</v>
      </c>
      <c r="AT137" s="94">
        <v>0</v>
      </c>
      <c r="AU137" s="94">
        <v>0</v>
      </c>
      <c r="AV137" s="94">
        <v>0</v>
      </c>
      <c r="AW137" s="94">
        <v>0</v>
      </c>
      <c r="AX137" s="94">
        <v>0</v>
      </c>
      <c r="AY137" s="94">
        <v>0</v>
      </c>
      <c r="AZ137" s="94">
        <v>0</v>
      </c>
      <c r="BA137" s="94">
        <v>-290</v>
      </c>
      <c r="BB137" s="94">
        <v>-1095</v>
      </c>
      <c r="BC137" s="94">
        <v>-1420</v>
      </c>
      <c r="BD137" s="94">
        <v>-1951</v>
      </c>
      <c r="BE137" s="94">
        <v>-1252</v>
      </c>
      <c r="BF137" s="94">
        <v>-1101</v>
      </c>
      <c r="BG137" s="94">
        <v>-2540</v>
      </c>
      <c r="BH137" s="94">
        <v>-1654</v>
      </c>
      <c r="BI137" s="94">
        <v>-1060</v>
      </c>
      <c r="BJ137" s="94">
        <v>-418</v>
      </c>
      <c r="BK137" s="94">
        <v>-347</v>
      </c>
      <c r="BL137" s="94">
        <v>-718</v>
      </c>
      <c r="BM137" s="94">
        <v>-947</v>
      </c>
      <c r="BN137" s="94">
        <v>-1338</v>
      </c>
      <c r="BO137" s="94">
        <v>-997</v>
      </c>
      <c r="BP137" s="94">
        <v>-1140</v>
      </c>
      <c r="BQ137" s="94">
        <v>-1491</v>
      </c>
      <c r="BR137" s="94">
        <v>-2044</v>
      </c>
      <c r="BS137" s="94">
        <v>-1779</v>
      </c>
      <c r="BT137" s="94">
        <v>-1373</v>
      </c>
      <c r="BU137" s="94">
        <v>-1957</v>
      </c>
      <c r="BV137" s="94">
        <v>-282</v>
      </c>
      <c r="BW137" s="94">
        <v>-754</v>
      </c>
      <c r="BX137" s="94">
        <v>-806</v>
      </c>
      <c r="BY137" s="94">
        <v>-744</v>
      </c>
      <c r="BZ137" s="4">
        <v>-856</v>
      </c>
      <c r="CA137" s="4">
        <v>-1262</v>
      </c>
      <c r="CB137" s="4">
        <v>-1007</v>
      </c>
      <c r="CC137" s="4">
        <v>-814</v>
      </c>
      <c r="CD137" s="4">
        <v>-450</v>
      </c>
      <c r="CE137" s="4">
        <v>-280</v>
      </c>
      <c r="CF137" s="4">
        <v>0</v>
      </c>
      <c r="CH137" s="94">
        <f t="shared" si="397"/>
        <v>0</v>
      </c>
      <c r="CI137" s="94">
        <f t="shared" si="397"/>
        <v>0</v>
      </c>
      <c r="CJ137" s="94">
        <f t="shared" si="397"/>
        <v>0</v>
      </c>
      <c r="CK137" s="94">
        <f t="shared" si="397"/>
        <v>0</v>
      </c>
      <c r="CL137" s="94">
        <f t="shared" si="397"/>
        <v>0</v>
      </c>
      <c r="CM137" s="94">
        <f t="shared" si="397"/>
        <v>0</v>
      </c>
      <c r="CN137" s="94">
        <f t="shared" si="397"/>
        <v>0</v>
      </c>
      <c r="CO137" s="94">
        <f t="shared" si="397"/>
        <v>0</v>
      </c>
      <c r="CP137" s="94">
        <f t="shared" si="397"/>
        <v>0</v>
      </c>
      <c r="CQ137" s="94">
        <f t="shared" si="397"/>
        <v>0</v>
      </c>
      <c r="CR137" s="94">
        <f t="shared" si="398"/>
        <v>0</v>
      </c>
      <c r="CS137" s="94">
        <f t="shared" si="398"/>
        <v>0</v>
      </c>
      <c r="CT137" s="94">
        <f t="shared" si="398"/>
        <v>0</v>
      </c>
      <c r="CU137" s="94">
        <f t="shared" si="398"/>
        <v>0</v>
      </c>
      <c r="CV137" s="94">
        <f t="shared" si="398"/>
        <v>0</v>
      </c>
      <c r="CW137" s="94">
        <f t="shared" si="398"/>
        <v>0</v>
      </c>
      <c r="CX137" s="94">
        <f t="shared" si="398"/>
        <v>0</v>
      </c>
      <c r="CY137" s="94">
        <f t="shared" si="398"/>
        <v>0</v>
      </c>
      <c r="CZ137" s="94">
        <f t="shared" si="398"/>
        <v>0</v>
      </c>
      <c r="DA137" s="94">
        <f t="shared" si="398"/>
        <v>0</v>
      </c>
      <c r="DB137" s="94">
        <f t="shared" si="399"/>
        <v>0</v>
      </c>
      <c r="DC137" s="94">
        <f t="shared" si="399"/>
        <v>0</v>
      </c>
      <c r="DD137" s="94">
        <f t="shared" si="399"/>
        <v>0</v>
      </c>
      <c r="DE137" s="94">
        <f t="shared" si="399"/>
        <v>0</v>
      </c>
      <c r="DF137" s="94">
        <f t="shared" si="399"/>
        <v>0</v>
      </c>
      <c r="DG137" s="94">
        <f t="shared" si="399"/>
        <v>0</v>
      </c>
      <c r="DH137" s="94">
        <f t="shared" si="399"/>
        <v>0</v>
      </c>
      <c r="DI137" s="94">
        <f t="shared" si="399"/>
        <v>0</v>
      </c>
      <c r="DJ137" s="94">
        <f t="shared" si="399"/>
        <v>0</v>
      </c>
      <c r="DK137" s="94">
        <f t="shared" si="399"/>
        <v>0</v>
      </c>
      <c r="DL137" s="94">
        <f t="shared" si="400"/>
        <v>0</v>
      </c>
      <c r="DM137" s="94">
        <f t="shared" si="400"/>
        <v>0</v>
      </c>
      <c r="DN137" s="94">
        <f t="shared" si="400"/>
        <v>0</v>
      </c>
      <c r="DO137" s="94">
        <f t="shared" si="400"/>
        <v>-1385</v>
      </c>
      <c r="DP137" s="94">
        <f t="shared" si="400"/>
        <v>-2805</v>
      </c>
      <c r="DQ137" s="94">
        <f t="shared" si="400"/>
        <v>-4756</v>
      </c>
      <c r="DR137" s="94">
        <f t="shared" si="400"/>
        <v>-2353</v>
      </c>
      <c r="DS137" s="94">
        <f t="shared" si="400"/>
        <v>-4893</v>
      </c>
      <c r="DT137" s="94">
        <f t="shared" si="400"/>
        <v>-6547</v>
      </c>
      <c r="DU137" s="94">
        <f t="shared" si="400"/>
        <v>-1478</v>
      </c>
      <c r="DV137" s="94">
        <f t="shared" si="401"/>
        <v>-1825</v>
      </c>
      <c r="DW137" s="94">
        <f t="shared" si="401"/>
        <v>-2543</v>
      </c>
      <c r="DX137" s="94">
        <f t="shared" si="401"/>
        <v>-2285</v>
      </c>
      <c r="DY137" s="94">
        <f t="shared" si="401"/>
        <v>-3282</v>
      </c>
      <c r="DZ137" s="94">
        <f t="shared" si="401"/>
        <v>-4422</v>
      </c>
      <c r="EA137" s="94">
        <f t="shared" si="401"/>
        <v>-3535</v>
      </c>
      <c r="EB137" s="94">
        <f t="shared" si="401"/>
        <v>-5314</v>
      </c>
      <c r="EC137" s="94">
        <f t="shared" si="401"/>
        <v>-6687</v>
      </c>
      <c r="ED137" s="94">
        <f t="shared" si="401"/>
        <v>-2239</v>
      </c>
      <c r="EE137" s="94">
        <f t="shared" si="401"/>
        <v>-2993</v>
      </c>
      <c r="EF137" s="94">
        <f t="shared" si="402"/>
        <v>-3799</v>
      </c>
      <c r="EG137" s="94">
        <f t="shared" si="402"/>
        <v>-1600</v>
      </c>
      <c r="EH137" s="94">
        <f t="shared" si="402"/>
        <v>-2862</v>
      </c>
      <c r="EI137" s="94">
        <f t="shared" si="402"/>
        <v>-3869</v>
      </c>
      <c r="EJ137" s="94">
        <f t="shared" si="402"/>
        <v>-1264</v>
      </c>
      <c r="EK137" s="94">
        <f t="shared" si="402"/>
        <v>-1544</v>
      </c>
      <c r="EL137" s="94">
        <f t="shared" si="402"/>
        <v>-1544</v>
      </c>
    </row>
    <row r="138" spans="2:142" x14ac:dyDescent="0.3">
      <c r="B138" s="129" t="s">
        <v>754</v>
      </c>
      <c r="C138" s="129" t="s">
        <v>462</v>
      </c>
      <c r="D138" s="183" t="str">
        <f>IF(Menu!$D$12="PT",'Dados Financeiros'!B138,'Dados Financeiros'!C138)</f>
        <v>Impostos e contribuições diferidos - FCX</v>
      </c>
      <c r="E138" s="4">
        <v>-63</v>
      </c>
      <c r="F138" s="4">
        <v>1081</v>
      </c>
      <c r="G138" s="4">
        <v>1218</v>
      </c>
      <c r="H138" s="4">
        <v>236</v>
      </c>
      <c r="I138" s="4">
        <v>471</v>
      </c>
      <c r="J138" s="4">
        <v>1501</v>
      </c>
      <c r="K138" s="4">
        <v>1635</v>
      </c>
      <c r="L138" s="4">
        <v>1847</v>
      </c>
      <c r="M138" s="4">
        <v>1353</v>
      </c>
      <c r="N138" s="4">
        <v>1312</v>
      </c>
      <c r="O138" s="4">
        <v>2896</v>
      </c>
      <c r="P138" s="4">
        <v>1742</v>
      </c>
      <c r="Q138" s="4">
        <v>904</v>
      </c>
      <c r="R138" s="4">
        <v>3785</v>
      </c>
      <c r="S138" s="4">
        <v>4570</v>
      </c>
      <c r="T138" s="4">
        <v>10170</v>
      </c>
      <c r="U138" s="4">
        <v>6536</v>
      </c>
      <c r="V138" s="4">
        <v>6932</v>
      </c>
      <c r="W138" s="4">
        <v>3033</v>
      </c>
      <c r="X138" s="4">
        <v>-749</v>
      </c>
      <c r="Y138" s="4">
        <v>630</v>
      </c>
      <c r="Z138" s="4">
        <v>1391</v>
      </c>
      <c r="AA138" s="4">
        <v>3319</v>
      </c>
      <c r="AB138" s="4">
        <v>3531</v>
      </c>
      <c r="AC138" s="4">
        <v>1090</v>
      </c>
      <c r="AD138" s="4">
        <v>1182</v>
      </c>
      <c r="AE138" s="4">
        <v>-17696</v>
      </c>
      <c r="AF138" s="4">
        <v>-14651</v>
      </c>
      <c r="AG138" s="4">
        <v>2263</v>
      </c>
      <c r="AH138" s="4">
        <v>-1164</v>
      </c>
      <c r="AI138" s="4">
        <v>1795</v>
      </c>
      <c r="AJ138" s="4">
        <v>231</v>
      </c>
      <c r="AK138" s="4">
        <v>1892</v>
      </c>
      <c r="AL138" s="4">
        <v>1729</v>
      </c>
      <c r="AM138" s="4">
        <v>-633</v>
      </c>
      <c r="AN138" s="4">
        <v>-3949</v>
      </c>
      <c r="AO138" s="4">
        <v>-1476</v>
      </c>
      <c r="AP138" s="4">
        <v>-1228</v>
      </c>
      <c r="AQ138" s="4">
        <v>-873</v>
      </c>
      <c r="AR138" s="4">
        <v>-14477</v>
      </c>
      <c r="AS138" s="4">
        <v>27</v>
      </c>
      <c r="AT138" s="4">
        <v>-1393</v>
      </c>
      <c r="AU138" s="4">
        <v>-3635</v>
      </c>
      <c r="AV138" s="4">
        <v>-2006</v>
      </c>
      <c r="AW138" s="4">
        <v>-1178</v>
      </c>
      <c r="AX138" s="4">
        <v>-2087</v>
      </c>
      <c r="AY138" s="4">
        <v>-2671</v>
      </c>
      <c r="AZ138" s="4">
        <v>-866</v>
      </c>
      <c r="BA138" s="4">
        <v>-766</v>
      </c>
      <c r="BB138" s="4">
        <v>-1223</v>
      </c>
      <c r="BC138" s="4">
        <v>-2088</v>
      </c>
      <c r="BD138" s="4">
        <v>-3772</v>
      </c>
      <c r="BE138" s="4">
        <v>-261</v>
      </c>
      <c r="BF138" s="4">
        <v>-320</v>
      </c>
      <c r="BG138" s="4">
        <v>209</v>
      </c>
      <c r="BH138" s="4">
        <v>541</v>
      </c>
      <c r="BI138" s="4">
        <v>265</v>
      </c>
      <c r="BJ138" s="4">
        <v>393</v>
      </c>
      <c r="BK138" s="4">
        <v>533</v>
      </c>
      <c r="BL138" s="4">
        <v>291</v>
      </c>
      <c r="BM138" s="4">
        <v>-1420</v>
      </c>
      <c r="BN138" s="4">
        <v>54</v>
      </c>
      <c r="BO138" s="4">
        <v>-1225</v>
      </c>
      <c r="BP138" s="4">
        <f>-2615-BO138-BN138-BM138</f>
        <v>-24</v>
      </c>
      <c r="BQ138" s="4">
        <v>-29</v>
      </c>
      <c r="BR138" s="4">
        <v>153</v>
      </c>
      <c r="BS138" s="4">
        <v>1057</v>
      </c>
      <c r="BT138" s="4">
        <v>-157</v>
      </c>
      <c r="BU138" s="4">
        <v>267</v>
      </c>
      <c r="BV138" s="4">
        <v>733</v>
      </c>
      <c r="BW138" s="4">
        <v>472</v>
      </c>
      <c r="BX138" s="4">
        <v>747</v>
      </c>
      <c r="BY138" s="4">
        <v>1253</v>
      </c>
      <c r="BZ138" s="4">
        <v>699</v>
      </c>
      <c r="CA138" s="4">
        <v>-1200</v>
      </c>
      <c r="CB138" s="4">
        <v>-535</v>
      </c>
      <c r="CC138" s="4">
        <v>-1172</v>
      </c>
      <c r="CD138" s="4">
        <v>-610</v>
      </c>
      <c r="CE138" s="4">
        <v>-801</v>
      </c>
      <c r="CF138" s="4">
        <v>-908</v>
      </c>
      <c r="CH138" s="94">
        <f t="shared" si="397"/>
        <v>1018</v>
      </c>
      <c r="CI138" s="94">
        <f t="shared" si="397"/>
        <v>2236</v>
      </c>
      <c r="CJ138" s="94">
        <f t="shared" si="397"/>
        <v>2472</v>
      </c>
      <c r="CK138" s="94">
        <f t="shared" si="397"/>
        <v>1972</v>
      </c>
      <c r="CL138" s="94">
        <f t="shared" si="397"/>
        <v>3607</v>
      </c>
      <c r="CM138" s="94">
        <f t="shared" si="397"/>
        <v>5454</v>
      </c>
      <c r="CN138" s="94">
        <f t="shared" si="397"/>
        <v>2665</v>
      </c>
      <c r="CO138" s="94">
        <f t="shared" si="397"/>
        <v>5561</v>
      </c>
      <c r="CP138" s="94">
        <f t="shared" si="397"/>
        <v>7303</v>
      </c>
      <c r="CQ138" s="94">
        <f t="shared" si="397"/>
        <v>4689</v>
      </c>
      <c r="CR138" s="94">
        <f t="shared" si="398"/>
        <v>9259</v>
      </c>
      <c r="CS138" s="94">
        <f t="shared" si="398"/>
        <v>19429</v>
      </c>
      <c r="CT138" s="94">
        <f t="shared" si="398"/>
        <v>13468</v>
      </c>
      <c r="CU138" s="94">
        <f t="shared" si="398"/>
        <v>16501</v>
      </c>
      <c r="CV138" s="94">
        <f t="shared" si="398"/>
        <v>15752</v>
      </c>
      <c r="CW138" s="94">
        <f t="shared" si="398"/>
        <v>4922</v>
      </c>
      <c r="CX138" s="94">
        <f t="shared" si="398"/>
        <v>6104</v>
      </c>
      <c r="CY138" s="94">
        <f t="shared" si="398"/>
        <v>-8547</v>
      </c>
      <c r="CZ138" s="94">
        <f t="shared" si="398"/>
        <v>1099</v>
      </c>
      <c r="DA138" s="94">
        <f t="shared" si="398"/>
        <v>2894</v>
      </c>
      <c r="DB138" s="94">
        <f t="shared" si="399"/>
        <v>3125</v>
      </c>
      <c r="DC138" s="94">
        <f t="shared" si="399"/>
        <v>3621</v>
      </c>
      <c r="DD138" s="94">
        <f t="shared" si="399"/>
        <v>2988</v>
      </c>
      <c r="DE138" s="94">
        <f t="shared" si="399"/>
        <v>-961</v>
      </c>
      <c r="DF138" s="94">
        <f t="shared" si="399"/>
        <v>-2704</v>
      </c>
      <c r="DG138" s="94">
        <f t="shared" si="399"/>
        <v>-3577</v>
      </c>
      <c r="DH138" s="94">
        <f t="shared" si="399"/>
        <v>-18054</v>
      </c>
      <c r="DI138" s="94">
        <f t="shared" si="399"/>
        <v>-1366</v>
      </c>
      <c r="DJ138" s="94">
        <f t="shared" si="399"/>
        <v>-5001</v>
      </c>
      <c r="DK138" s="94">
        <f t="shared" si="399"/>
        <v>-7007</v>
      </c>
      <c r="DL138" s="94">
        <f t="shared" si="400"/>
        <v>-3265</v>
      </c>
      <c r="DM138" s="94">
        <f t="shared" si="400"/>
        <v>-5936</v>
      </c>
      <c r="DN138" s="94">
        <f t="shared" si="400"/>
        <v>-6802</v>
      </c>
      <c r="DO138" s="94">
        <f t="shared" si="400"/>
        <v>-1989</v>
      </c>
      <c r="DP138" s="94">
        <f t="shared" si="400"/>
        <v>-4077</v>
      </c>
      <c r="DQ138" s="94">
        <f t="shared" si="400"/>
        <v>-7849</v>
      </c>
      <c r="DR138" s="94">
        <f t="shared" si="400"/>
        <v>-581</v>
      </c>
      <c r="DS138" s="94">
        <f t="shared" si="400"/>
        <v>-372</v>
      </c>
      <c r="DT138" s="94">
        <f t="shared" si="400"/>
        <v>169</v>
      </c>
      <c r="DU138" s="94">
        <f t="shared" si="400"/>
        <v>658</v>
      </c>
      <c r="DV138" s="94">
        <f t="shared" si="401"/>
        <v>1191</v>
      </c>
      <c r="DW138" s="94">
        <f t="shared" si="401"/>
        <v>1482</v>
      </c>
      <c r="DX138" s="94">
        <f t="shared" si="401"/>
        <v>-1366</v>
      </c>
      <c r="DY138" s="94">
        <f t="shared" si="401"/>
        <v>-2591</v>
      </c>
      <c r="DZ138" s="94">
        <f t="shared" si="401"/>
        <v>-2615</v>
      </c>
      <c r="EA138" s="94">
        <f t="shared" si="401"/>
        <v>124</v>
      </c>
      <c r="EB138" s="94">
        <f t="shared" si="401"/>
        <v>1181</v>
      </c>
      <c r="EC138" s="94">
        <f t="shared" si="401"/>
        <v>1024</v>
      </c>
      <c r="ED138" s="94">
        <f t="shared" si="401"/>
        <v>1000</v>
      </c>
      <c r="EE138" s="94">
        <f t="shared" si="401"/>
        <v>1472</v>
      </c>
      <c r="EF138" s="94">
        <f t="shared" si="402"/>
        <v>2219</v>
      </c>
      <c r="EG138" s="94">
        <f t="shared" si="402"/>
        <v>1952</v>
      </c>
      <c r="EH138" s="94">
        <f t="shared" si="402"/>
        <v>752</v>
      </c>
      <c r="EI138" s="94">
        <f t="shared" si="402"/>
        <v>217</v>
      </c>
      <c r="EJ138" s="94">
        <f t="shared" si="402"/>
        <v>-1782</v>
      </c>
      <c r="EK138" s="94">
        <f t="shared" si="402"/>
        <v>-2583</v>
      </c>
      <c r="EL138" s="94">
        <f t="shared" si="402"/>
        <v>-3491</v>
      </c>
    </row>
    <row r="139" spans="2:142" x14ac:dyDescent="0.3">
      <c r="B139" s="129" t="s">
        <v>590</v>
      </c>
      <c r="C139" s="129" t="s">
        <v>463</v>
      </c>
      <c r="D139" s="183" t="str">
        <f>IF(Menu!$D$12="PT",'Dados Financeiros'!B139,'Dados Financeiros'!C139)</f>
        <v>Provisões - FCX</v>
      </c>
      <c r="E139" s="4">
        <v>378</v>
      </c>
      <c r="F139" s="4">
        <v>1029</v>
      </c>
      <c r="G139" s="4">
        <v>1718</v>
      </c>
      <c r="H139" s="4">
        <v>339</v>
      </c>
      <c r="I139" s="4">
        <v>2511</v>
      </c>
      <c r="J139" s="4">
        <v>374</v>
      </c>
      <c r="K139" s="4">
        <v>-366</v>
      </c>
      <c r="L139" s="4">
        <v>-1847</v>
      </c>
      <c r="M139" s="4">
        <v>622</v>
      </c>
      <c r="N139" s="4">
        <v>384</v>
      </c>
      <c r="O139" s="4">
        <v>365</v>
      </c>
      <c r="P139" s="4">
        <v>335</v>
      </c>
      <c r="Q139" s="4">
        <v>113</v>
      </c>
      <c r="R139" s="4">
        <v>943</v>
      </c>
      <c r="S139" s="4">
        <v>3465</v>
      </c>
      <c r="T139" s="4">
        <v>-789</v>
      </c>
      <c r="U139" s="4">
        <v>668</v>
      </c>
      <c r="V139" s="4">
        <v>629</v>
      </c>
      <c r="W139" s="4">
        <v>2829</v>
      </c>
      <c r="X139" s="4">
        <v>2657</v>
      </c>
      <c r="Y139" s="4">
        <v>3551</v>
      </c>
      <c r="Z139" s="4">
        <v>3382</v>
      </c>
      <c r="AA139" s="4">
        <v>1223</v>
      </c>
      <c r="AB139" s="4">
        <v>938</v>
      </c>
      <c r="AC139" s="4">
        <v>55227</v>
      </c>
      <c r="AD139" s="4">
        <v>24169</v>
      </c>
      <c r="AE139" s="4">
        <v>-14875</v>
      </c>
      <c r="AF139" s="4">
        <v>13604</v>
      </c>
      <c r="AG139" s="4">
        <v>2053</v>
      </c>
      <c r="AH139" s="4">
        <v>8174</v>
      </c>
      <c r="AI139" s="4">
        <v>-6462</v>
      </c>
      <c r="AJ139" s="4">
        <v>4108</v>
      </c>
      <c r="AK139" s="4">
        <v>10613</v>
      </c>
      <c r="AL139" s="4">
        <v>5201</v>
      </c>
      <c r="AM139" s="4">
        <v>5312</v>
      </c>
      <c r="AN139" s="4">
        <v>10921</v>
      </c>
      <c r="AO139" s="4">
        <v>8909</v>
      </c>
      <c r="AP139" s="4">
        <v>8082</v>
      </c>
      <c r="AQ139" s="4">
        <v>16843</v>
      </c>
      <c r="AR139" s="4">
        <f>160228-AO139-AP139-AQ139</f>
        <v>126394</v>
      </c>
      <c r="AS139" s="4">
        <v>6403</v>
      </c>
      <c r="AT139" s="4">
        <v>12991</v>
      </c>
      <c r="AU139" s="4">
        <v>2561</v>
      </c>
      <c r="AV139" s="4">
        <v>128423</v>
      </c>
      <c r="AW139" s="4">
        <v>-4663</v>
      </c>
      <c r="AX139" s="4">
        <v>18708</v>
      </c>
      <c r="AY139" s="4">
        <v>60104</v>
      </c>
      <c r="AZ139" s="4">
        <v>50282</v>
      </c>
      <c r="BA139" s="4">
        <v>-1306</v>
      </c>
      <c r="BB139" s="4">
        <v>11217</v>
      </c>
      <c r="BC139" s="4">
        <v>-12323</v>
      </c>
      <c r="BD139" s="4">
        <v>12142</v>
      </c>
      <c r="BE139" s="4">
        <v>-12892</v>
      </c>
      <c r="BF139" s="4">
        <v>73706</v>
      </c>
      <c r="BG139" s="4">
        <v>7166</v>
      </c>
      <c r="BH139" s="4">
        <v>24832</v>
      </c>
      <c r="BI139" s="4">
        <v>10895</v>
      </c>
      <c r="BJ139" s="4">
        <v>-3378</v>
      </c>
      <c r="BK139" s="4">
        <v>-13115</v>
      </c>
      <c r="BL139" s="4">
        <v>-9269</v>
      </c>
      <c r="BM139" s="4">
        <v>-5641</v>
      </c>
      <c r="BN139" s="4">
        <v>-26035</v>
      </c>
      <c r="BO139" s="4">
        <v>-6055</v>
      </c>
      <c r="BP139" s="4">
        <f>-39005-BO139-BN139-BM139</f>
        <v>-1274</v>
      </c>
      <c r="BQ139" s="4">
        <v>888</v>
      </c>
      <c r="BR139" s="4">
        <v>-1010</v>
      </c>
      <c r="BS139" s="4">
        <v>-12517</v>
      </c>
      <c r="BT139" s="4">
        <v>-3858</v>
      </c>
      <c r="BU139" s="4">
        <v>1857</v>
      </c>
      <c r="BV139" s="4">
        <v>-316</v>
      </c>
      <c r="BW139" s="4">
        <v>-229</v>
      </c>
      <c r="BX139" s="4">
        <v>16710</v>
      </c>
      <c r="BY139" s="4">
        <v>5753</v>
      </c>
      <c r="BZ139" s="4">
        <v>27136</v>
      </c>
      <c r="CA139" s="4">
        <v>1836</v>
      </c>
      <c r="CB139" s="4">
        <v>-3373</v>
      </c>
      <c r="CC139" s="4">
        <v>4990</v>
      </c>
      <c r="CD139" s="4">
        <v>3924</v>
      </c>
      <c r="CE139" s="4">
        <v>11865</v>
      </c>
      <c r="CF139" s="4">
        <v>10314</v>
      </c>
      <c r="CH139" s="94">
        <f t="shared" si="397"/>
        <v>1407</v>
      </c>
      <c r="CI139" s="94">
        <f t="shared" si="397"/>
        <v>3125</v>
      </c>
      <c r="CJ139" s="94">
        <f t="shared" si="397"/>
        <v>3464</v>
      </c>
      <c r="CK139" s="94">
        <f t="shared" si="397"/>
        <v>2885</v>
      </c>
      <c r="CL139" s="94">
        <f t="shared" si="397"/>
        <v>2519</v>
      </c>
      <c r="CM139" s="94">
        <f t="shared" si="397"/>
        <v>672</v>
      </c>
      <c r="CN139" s="94">
        <f t="shared" si="397"/>
        <v>1006</v>
      </c>
      <c r="CO139" s="94">
        <f t="shared" si="397"/>
        <v>1371</v>
      </c>
      <c r="CP139" s="94">
        <f t="shared" si="397"/>
        <v>1706</v>
      </c>
      <c r="CQ139" s="94">
        <f t="shared" si="397"/>
        <v>1056</v>
      </c>
      <c r="CR139" s="94">
        <f t="shared" si="398"/>
        <v>4521</v>
      </c>
      <c r="CS139" s="94">
        <f t="shared" si="398"/>
        <v>3732</v>
      </c>
      <c r="CT139" s="94">
        <f t="shared" si="398"/>
        <v>1297</v>
      </c>
      <c r="CU139" s="94">
        <f t="shared" si="398"/>
        <v>4126</v>
      </c>
      <c r="CV139" s="94">
        <f t="shared" si="398"/>
        <v>6783</v>
      </c>
      <c r="CW139" s="94">
        <f t="shared" si="398"/>
        <v>4320</v>
      </c>
      <c r="CX139" s="94">
        <f t="shared" si="398"/>
        <v>28489</v>
      </c>
      <c r="CY139" s="94">
        <f t="shared" si="398"/>
        <v>42093</v>
      </c>
      <c r="CZ139" s="94">
        <f t="shared" si="398"/>
        <v>10227</v>
      </c>
      <c r="DA139" s="94">
        <f t="shared" si="398"/>
        <v>3765</v>
      </c>
      <c r="DB139" s="94">
        <f t="shared" si="399"/>
        <v>7873</v>
      </c>
      <c r="DC139" s="94">
        <f t="shared" si="399"/>
        <v>15814</v>
      </c>
      <c r="DD139" s="94">
        <f t="shared" si="399"/>
        <v>21126</v>
      </c>
      <c r="DE139" s="94">
        <f t="shared" si="399"/>
        <v>32047</v>
      </c>
      <c r="DF139" s="94">
        <f t="shared" si="399"/>
        <v>16991</v>
      </c>
      <c r="DG139" s="94">
        <f t="shared" si="399"/>
        <v>33834</v>
      </c>
      <c r="DH139" s="94">
        <f t="shared" si="399"/>
        <v>160228</v>
      </c>
      <c r="DI139" s="94">
        <f t="shared" si="399"/>
        <v>19394</v>
      </c>
      <c r="DJ139" s="94">
        <f t="shared" si="399"/>
        <v>21955</v>
      </c>
      <c r="DK139" s="94">
        <f t="shared" si="399"/>
        <v>150378</v>
      </c>
      <c r="DL139" s="94">
        <f t="shared" si="400"/>
        <v>14045</v>
      </c>
      <c r="DM139" s="94">
        <f t="shared" si="400"/>
        <v>74149</v>
      </c>
      <c r="DN139" s="94">
        <f t="shared" si="400"/>
        <v>124431</v>
      </c>
      <c r="DO139" s="94">
        <f t="shared" si="400"/>
        <v>9911</v>
      </c>
      <c r="DP139" s="94">
        <f t="shared" si="400"/>
        <v>-2412</v>
      </c>
      <c r="DQ139" s="94">
        <f t="shared" si="400"/>
        <v>9730</v>
      </c>
      <c r="DR139" s="94">
        <f t="shared" si="400"/>
        <v>60814</v>
      </c>
      <c r="DS139" s="94">
        <f t="shared" si="400"/>
        <v>67980</v>
      </c>
      <c r="DT139" s="94">
        <f t="shared" si="400"/>
        <v>92812</v>
      </c>
      <c r="DU139" s="94">
        <f t="shared" si="400"/>
        <v>7517</v>
      </c>
      <c r="DV139" s="94">
        <f t="shared" si="401"/>
        <v>-5598</v>
      </c>
      <c r="DW139" s="94">
        <f t="shared" si="401"/>
        <v>-14867</v>
      </c>
      <c r="DX139" s="94">
        <f t="shared" si="401"/>
        <v>-31676</v>
      </c>
      <c r="DY139" s="94">
        <f t="shared" si="401"/>
        <v>-37731</v>
      </c>
      <c r="DZ139" s="94">
        <f t="shared" si="401"/>
        <v>-39005</v>
      </c>
      <c r="EA139" s="94">
        <f t="shared" si="401"/>
        <v>-122</v>
      </c>
      <c r="EB139" s="94">
        <f t="shared" si="401"/>
        <v>-12639</v>
      </c>
      <c r="EC139" s="94">
        <f t="shared" si="401"/>
        <v>-16497</v>
      </c>
      <c r="ED139" s="94">
        <f t="shared" si="401"/>
        <v>1541</v>
      </c>
      <c r="EE139" s="94">
        <f t="shared" si="401"/>
        <v>1312</v>
      </c>
      <c r="EF139" s="94">
        <f t="shared" si="402"/>
        <v>18022</v>
      </c>
      <c r="EG139" s="94">
        <f t="shared" si="402"/>
        <v>32889</v>
      </c>
      <c r="EH139" s="94">
        <f t="shared" si="402"/>
        <v>34725</v>
      </c>
      <c r="EI139" s="94">
        <f t="shared" si="402"/>
        <v>31352</v>
      </c>
      <c r="EJ139" s="94">
        <f t="shared" si="402"/>
        <v>8914</v>
      </c>
      <c r="EK139" s="94">
        <f t="shared" si="402"/>
        <v>20779</v>
      </c>
      <c r="EL139" s="94">
        <f t="shared" si="402"/>
        <v>31093</v>
      </c>
    </row>
    <row r="140" spans="2:142" x14ac:dyDescent="0.3">
      <c r="B140" s="129" t="s">
        <v>591</v>
      </c>
      <c r="C140" s="129" t="s">
        <v>464</v>
      </c>
      <c r="D140" s="183" t="str">
        <f>IF(Menu!$D$12="PT",'Dados Financeiros'!B140,'Dados Financeiros'!C140)</f>
        <v>Remensuração de investimento - FCX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>
        <f>-284789+461-AO140-AP140-AQ140</f>
        <v>-284328</v>
      </c>
      <c r="AS140" s="4">
        <v>0</v>
      </c>
      <c r="AT140" s="4">
        <v>0</v>
      </c>
      <c r="AU140" s="4">
        <v>0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-4729</v>
      </c>
      <c r="BE140" s="4">
        <v>0</v>
      </c>
      <c r="BF140" s="4">
        <v>0</v>
      </c>
      <c r="BG140" s="4">
        <v>-16608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M140" s="4">
        <v>0</v>
      </c>
      <c r="BN140" s="4">
        <v>0</v>
      </c>
      <c r="BO140" s="4">
        <v>0</v>
      </c>
      <c r="BP140" s="4">
        <v>0</v>
      </c>
      <c r="BQ140" s="4">
        <v>0</v>
      </c>
      <c r="BR140" s="4">
        <v>0</v>
      </c>
      <c r="BS140" s="4">
        <v>0</v>
      </c>
      <c r="BT140" s="4">
        <v>0</v>
      </c>
      <c r="BU140" s="4">
        <v>0</v>
      </c>
      <c r="BV140" s="4">
        <v>0</v>
      </c>
      <c r="BW140" s="4">
        <v>0</v>
      </c>
      <c r="BX140" s="4">
        <v>0</v>
      </c>
      <c r="BY140" s="4">
        <v>0</v>
      </c>
      <c r="BZ140" s="4">
        <v>-10154</v>
      </c>
      <c r="CA140" s="4">
        <v>0</v>
      </c>
      <c r="CB140" s="4">
        <v>0</v>
      </c>
      <c r="CC140" s="4">
        <v>0</v>
      </c>
      <c r="CD140" s="4">
        <v>0</v>
      </c>
      <c r="CE140" s="4">
        <v>0</v>
      </c>
      <c r="CF140" s="4">
        <v>1500</v>
      </c>
      <c r="CH140" s="94">
        <f t="shared" si="397"/>
        <v>0</v>
      </c>
      <c r="CI140" s="94">
        <f t="shared" si="397"/>
        <v>0</v>
      </c>
      <c r="CJ140" s="94">
        <f t="shared" si="397"/>
        <v>0</v>
      </c>
      <c r="CK140" s="94">
        <f t="shared" si="397"/>
        <v>0</v>
      </c>
      <c r="CL140" s="94">
        <f t="shared" si="397"/>
        <v>0</v>
      </c>
      <c r="CM140" s="94">
        <f t="shared" si="397"/>
        <v>0</v>
      </c>
      <c r="CN140" s="94">
        <f t="shared" si="397"/>
        <v>0</v>
      </c>
      <c r="CO140" s="94">
        <f t="shared" si="397"/>
        <v>0</v>
      </c>
      <c r="CP140" s="94">
        <f t="shared" si="397"/>
        <v>0</v>
      </c>
      <c r="CQ140" s="94">
        <f t="shared" si="397"/>
        <v>0</v>
      </c>
      <c r="CR140" s="94">
        <f t="shared" si="398"/>
        <v>0</v>
      </c>
      <c r="CS140" s="94">
        <f t="shared" si="398"/>
        <v>0</v>
      </c>
      <c r="CT140" s="94">
        <f t="shared" si="398"/>
        <v>0</v>
      </c>
      <c r="CU140" s="94">
        <f t="shared" si="398"/>
        <v>0</v>
      </c>
      <c r="CV140" s="94">
        <f t="shared" si="398"/>
        <v>0</v>
      </c>
      <c r="CW140" s="94">
        <f t="shared" si="398"/>
        <v>0</v>
      </c>
      <c r="CX140" s="94">
        <f t="shared" si="398"/>
        <v>0</v>
      </c>
      <c r="CY140" s="94">
        <f t="shared" si="398"/>
        <v>0</v>
      </c>
      <c r="CZ140" s="94">
        <f t="shared" si="398"/>
        <v>0</v>
      </c>
      <c r="DA140" s="94">
        <f t="shared" si="398"/>
        <v>0</v>
      </c>
      <c r="DB140" s="94">
        <f t="shared" si="399"/>
        <v>0</v>
      </c>
      <c r="DC140" s="94">
        <f t="shared" si="399"/>
        <v>0</v>
      </c>
      <c r="DD140" s="94">
        <f t="shared" si="399"/>
        <v>0</v>
      </c>
      <c r="DE140" s="94">
        <f t="shared" si="399"/>
        <v>0</v>
      </c>
      <c r="DF140" s="94">
        <f t="shared" si="399"/>
        <v>0</v>
      </c>
      <c r="DG140" s="94">
        <f t="shared" si="399"/>
        <v>0</v>
      </c>
      <c r="DH140" s="94">
        <f t="shared" si="399"/>
        <v>-284328</v>
      </c>
      <c r="DI140" s="94">
        <f t="shared" si="399"/>
        <v>0</v>
      </c>
      <c r="DJ140" s="94">
        <f t="shared" si="399"/>
        <v>0</v>
      </c>
      <c r="DK140" s="94">
        <f t="shared" si="399"/>
        <v>0</v>
      </c>
      <c r="DL140" s="94">
        <f t="shared" si="400"/>
        <v>0</v>
      </c>
      <c r="DM140" s="94">
        <f t="shared" si="400"/>
        <v>0</v>
      </c>
      <c r="DN140" s="94">
        <f t="shared" si="400"/>
        <v>0</v>
      </c>
      <c r="DO140" s="94">
        <f t="shared" si="400"/>
        <v>0</v>
      </c>
      <c r="DP140" s="94">
        <f t="shared" si="400"/>
        <v>0</v>
      </c>
      <c r="DQ140" s="94">
        <f t="shared" si="400"/>
        <v>-4729</v>
      </c>
      <c r="DR140" s="94">
        <f t="shared" si="400"/>
        <v>0</v>
      </c>
      <c r="DS140" s="94">
        <f t="shared" si="400"/>
        <v>-16608</v>
      </c>
      <c r="DT140" s="94">
        <f t="shared" si="400"/>
        <v>-16608</v>
      </c>
      <c r="DU140" s="94">
        <f t="shared" si="400"/>
        <v>0</v>
      </c>
      <c r="DV140" s="94">
        <f t="shared" si="401"/>
        <v>0</v>
      </c>
      <c r="DW140" s="94">
        <f t="shared" si="401"/>
        <v>0</v>
      </c>
      <c r="DX140" s="94">
        <f t="shared" si="401"/>
        <v>0</v>
      </c>
      <c r="DY140" s="94">
        <f t="shared" si="401"/>
        <v>0</v>
      </c>
      <c r="DZ140" s="94">
        <f t="shared" si="401"/>
        <v>0</v>
      </c>
      <c r="EA140" s="94">
        <f t="shared" si="401"/>
        <v>0</v>
      </c>
      <c r="EB140" s="94">
        <f t="shared" si="401"/>
        <v>0</v>
      </c>
      <c r="EC140" s="94">
        <f t="shared" si="401"/>
        <v>0</v>
      </c>
      <c r="ED140" s="94">
        <f t="shared" si="401"/>
        <v>0</v>
      </c>
      <c r="EE140" s="94">
        <f t="shared" si="401"/>
        <v>0</v>
      </c>
      <c r="EF140" s="94">
        <f t="shared" si="402"/>
        <v>0</v>
      </c>
      <c r="EG140" s="94">
        <f t="shared" si="402"/>
        <v>-10154</v>
      </c>
      <c r="EH140" s="94">
        <f t="shared" si="402"/>
        <v>-10154</v>
      </c>
      <c r="EI140" s="94">
        <f t="shared" si="402"/>
        <v>-10154</v>
      </c>
      <c r="EJ140" s="94">
        <f t="shared" si="402"/>
        <v>0</v>
      </c>
      <c r="EK140" s="94">
        <f t="shared" si="402"/>
        <v>0</v>
      </c>
      <c r="EL140" s="94">
        <f t="shared" si="402"/>
        <v>1500</v>
      </c>
    </row>
    <row r="141" spans="2:142" x14ac:dyDescent="0.3">
      <c r="B141" s="129" t="s">
        <v>592</v>
      </c>
      <c r="C141" s="129" t="s">
        <v>465</v>
      </c>
      <c r="D141" s="187" t="str">
        <f>IF(Menu!$D$12="PT",'Dados Financeiros'!B141,'Dados Financeiros'!C141)</f>
        <v>Amortização de remensuração de investimento - FCX</v>
      </c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  <c r="AI141" s="94"/>
      <c r="AJ141" s="94"/>
      <c r="AK141" s="94"/>
      <c r="AL141" s="94"/>
      <c r="AM141" s="94"/>
      <c r="AN141" s="94"/>
      <c r="AO141" s="94"/>
      <c r="AP141" s="94"/>
      <c r="AQ141" s="94"/>
      <c r="AR141" s="94">
        <v>0</v>
      </c>
      <c r="AS141" s="4">
        <v>-293</v>
      </c>
      <c r="AT141" s="4">
        <v>332</v>
      </c>
      <c r="AU141" s="4">
        <v>768</v>
      </c>
      <c r="AV141" s="4">
        <v>2459</v>
      </c>
      <c r="AW141" s="4">
        <v>1746</v>
      </c>
      <c r="AX141" s="4">
        <v>-568</v>
      </c>
      <c r="AY141" s="4">
        <v>4083</v>
      </c>
      <c r="AZ141" s="4">
        <v>6760</v>
      </c>
      <c r="BA141" s="4">
        <v>9602</v>
      </c>
      <c r="BB141" s="4">
        <v>7746</v>
      </c>
      <c r="BC141" s="4">
        <v>842</v>
      </c>
      <c r="BD141" s="4">
        <v>254</v>
      </c>
      <c r="BE141" s="4">
        <v>16155</v>
      </c>
      <c r="BF141" s="4">
        <v>12615</v>
      </c>
      <c r="BG141" s="4">
        <v>11955</v>
      </c>
      <c r="BH141" s="4">
        <v>15172</v>
      </c>
      <c r="BI141" s="4">
        <v>7013</v>
      </c>
      <c r="BJ141" s="4">
        <v>1894</v>
      </c>
      <c r="BK141" s="4">
        <v>8836</v>
      </c>
      <c r="BL141" s="4">
        <v>12399</v>
      </c>
      <c r="BM141" s="4">
        <v>3220</v>
      </c>
      <c r="BN141" s="4">
        <v>3292</v>
      </c>
      <c r="BO141" s="4">
        <v>2392</v>
      </c>
      <c r="BP141" s="4">
        <f>11800-BO141-BN141-BM141</f>
        <v>2896</v>
      </c>
      <c r="BQ141" s="4">
        <v>1124</v>
      </c>
      <c r="BR141" s="4">
        <v>1393</v>
      </c>
      <c r="BS141" s="4">
        <v>2393</v>
      </c>
      <c r="BT141" s="4">
        <v>2499</v>
      </c>
      <c r="BU141" s="4">
        <v>761</v>
      </c>
      <c r="BV141" s="4">
        <v>1653</v>
      </c>
      <c r="BW141" s="4">
        <v>866</v>
      </c>
      <c r="BX141" s="4">
        <v>1308</v>
      </c>
      <c r="BY141" s="4">
        <v>17617</v>
      </c>
      <c r="BZ141" s="4">
        <v>3150</v>
      </c>
      <c r="CA141" s="4">
        <v>3293</v>
      </c>
      <c r="CB141" s="4">
        <v>5629</v>
      </c>
      <c r="CC141" s="4">
        <v>5226</v>
      </c>
      <c r="CD141" s="4">
        <v>3209</v>
      </c>
      <c r="CE141" s="4">
        <v>4753</v>
      </c>
      <c r="CF141" s="4">
        <v>3875</v>
      </c>
      <c r="CH141" s="94">
        <f t="shared" si="397"/>
        <v>0</v>
      </c>
      <c r="CI141" s="94">
        <f t="shared" si="397"/>
        <v>0</v>
      </c>
      <c r="CJ141" s="94">
        <f t="shared" si="397"/>
        <v>0</v>
      </c>
      <c r="CK141" s="94">
        <f t="shared" si="397"/>
        <v>0</v>
      </c>
      <c r="CL141" s="94">
        <f t="shared" si="397"/>
        <v>0</v>
      </c>
      <c r="CM141" s="94">
        <f t="shared" si="397"/>
        <v>0</v>
      </c>
      <c r="CN141" s="94">
        <f t="shared" si="397"/>
        <v>0</v>
      </c>
      <c r="CO141" s="94">
        <f t="shared" si="397"/>
        <v>0</v>
      </c>
      <c r="CP141" s="94">
        <f t="shared" si="397"/>
        <v>0</v>
      </c>
      <c r="CQ141" s="94">
        <f t="shared" si="397"/>
        <v>0</v>
      </c>
      <c r="CR141" s="94">
        <f t="shared" si="398"/>
        <v>0</v>
      </c>
      <c r="CS141" s="94">
        <f t="shared" si="398"/>
        <v>0</v>
      </c>
      <c r="CT141" s="94">
        <f t="shared" si="398"/>
        <v>0</v>
      </c>
      <c r="CU141" s="94">
        <f t="shared" si="398"/>
        <v>0</v>
      </c>
      <c r="CV141" s="94">
        <f t="shared" si="398"/>
        <v>0</v>
      </c>
      <c r="CW141" s="94">
        <f t="shared" si="398"/>
        <v>0</v>
      </c>
      <c r="CX141" s="94">
        <f t="shared" si="398"/>
        <v>0</v>
      </c>
      <c r="CY141" s="94">
        <f t="shared" si="398"/>
        <v>0</v>
      </c>
      <c r="CZ141" s="94">
        <f t="shared" si="398"/>
        <v>0</v>
      </c>
      <c r="DA141" s="94">
        <f t="shared" si="398"/>
        <v>0</v>
      </c>
      <c r="DB141" s="94">
        <f t="shared" si="399"/>
        <v>0</v>
      </c>
      <c r="DC141" s="94">
        <f t="shared" si="399"/>
        <v>0</v>
      </c>
      <c r="DD141" s="94">
        <f t="shared" si="399"/>
        <v>0</v>
      </c>
      <c r="DE141" s="94">
        <f t="shared" si="399"/>
        <v>0</v>
      </c>
      <c r="DF141" s="94">
        <f t="shared" si="399"/>
        <v>0</v>
      </c>
      <c r="DG141" s="94">
        <f t="shared" si="399"/>
        <v>0</v>
      </c>
      <c r="DH141" s="94">
        <f t="shared" si="399"/>
        <v>0</v>
      </c>
      <c r="DI141" s="94">
        <f t="shared" si="399"/>
        <v>39</v>
      </c>
      <c r="DJ141" s="94">
        <f t="shared" si="399"/>
        <v>807</v>
      </c>
      <c r="DK141" s="94">
        <f t="shared" si="399"/>
        <v>3266</v>
      </c>
      <c r="DL141" s="94">
        <f t="shared" si="400"/>
        <v>1178</v>
      </c>
      <c r="DM141" s="94">
        <f t="shared" si="400"/>
        <v>5261</v>
      </c>
      <c r="DN141" s="94">
        <f t="shared" si="400"/>
        <v>12021</v>
      </c>
      <c r="DO141" s="94">
        <f t="shared" si="400"/>
        <v>17348</v>
      </c>
      <c r="DP141" s="94">
        <f t="shared" si="400"/>
        <v>18190</v>
      </c>
      <c r="DQ141" s="94">
        <f t="shared" si="400"/>
        <v>18444</v>
      </c>
      <c r="DR141" s="94">
        <f t="shared" si="400"/>
        <v>28770</v>
      </c>
      <c r="DS141" s="94">
        <f t="shared" si="400"/>
        <v>40725</v>
      </c>
      <c r="DT141" s="94">
        <f t="shared" si="400"/>
        <v>55897</v>
      </c>
      <c r="DU141" s="94">
        <f t="shared" si="400"/>
        <v>8907</v>
      </c>
      <c r="DV141" s="94">
        <f t="shared" si="401"/>
        <v>17743</v>
      </c>
      <c r="DW141" s="94">
        <f t="shared" si="401"/>
        <v>30142</v>
      </c>
      <c r="DX141" s="94">
        <f t="shared" si="401"/>
        <v>6512</v>
      </c>
      <c r="DY141" s="94">
        <f t="shared" si="401"/>
        <v>8904</v>
      </c>
      <c r="DZ141" s="94">
        <f t="shared" si="401"/>
        <v>11800</v>
      </c>
      <c r="EA141" s="94">
        <f t="shared" si="401"/>
        <v>2517</v>
      </c>
      <c r="EB141" s="94">
        <f t="shared" si="401"/>
        <v>4910</v>
      </c>
      <c r="EC141" s="94">
        <f t="shared" si="401"/>
        <v>7409</v>
      </c>
      <c r="ED141" s="94">
        <f t="shared" si="401"/>
        <v>2414</v>
      </c>
      <c r="EE141" s="94">
        <f t="shared" si="401"/>
        <v>3280</v>
      </c>
      <c r="EF141" s="94">
        <f t="shared" si="402"/>
        <v>4588</v>
      </c>
      <c r="EG141" s="94">
        <f t="shared" si="402"/>
        <v>20767</v>
      </c>
      <c r="EH141" s="94">
        <f t="shared" si="402"/>
        <v>24060</v>
      </c>
      <c r="EI141" s="94">
        <f t="shared" si="402"/>
        <v>29689</v>
      </c>
      <c r="EJ141" s="94">
        <f t="shared" si="402"/>
        <v>8435</v>
      </c>
      <c r="EK141" s="94">
        <f t="shared" si="402"/>
        <v>13188</v>
      </c>
      <c r="EL141" s="94">
        <f t="shared" si="402"/>
        <v>17063</v>
      </c>
    </row>
    <row r="142" spans="2:142" x14ac:dyDescent="0.3">
      <c r="B142" s="129" t="s">
        <v>787</v>
      </c>
      <c r="C142" s="129" t="s">
        <v>466</v>
      </c>
      <c r="D142" s="187" t="str">
        <f>IF(Menu!$D$12="PT",'Dados Financeiros'!B142,'Dados Financeiros'!C142)</f>
        <v>Aumento do capital social com dividendos propostos - FCX</v>
      </c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  <c r="AG142" s="94"/>
      <c r="AH142" s="94"/>
      <c r="AI142" s="94"/>
      <c r="AJ142" s="94"/>
      <c r="AK142" s="94"/>
      <c r="AL142" s="94"/>
      <c r="AM142" s="94"/>
      <c r="AN142" s="94"/>
      <c r="AO142" s="94"/>
      <c r="AP142" s="94"/>
      <c r="AQ142" s="94"/>
      <c r="AR142" s="94"/>
      <c r="AS142" s="94"/>
      <c r="AT142" s="94"/>
      <c r="AU142" s="94"/>
      <c r="AV142" s="94">
        <v>4121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0</v>
      </c>
      <c r="CA142" s="4">
        <v>0</v>
      </c>
      <c r="CB142" s="4">
        <v>0</v>
      </c>
      <c r="CC142" s="4">
        <v>0</v>
      </c>
      <c r="CD142" s="4">
        <v>0</v>
      </c>
      <c r="CE142" s="4">
        <v>0</v>
      </c>
      <c r="CF142" s="4">
        <v>0</v>
      </c>
      <c r="CH142" s="94">
        <f t="shared" si="397"/>
        <v>0</v>
      </c>
      <c r="CI142" s="94">
        <f t="shared" si="397"/>
        <v>0</v>
      </c>
      <c r="CJ142" s="94">
        <f t="shared" si="397"/>
        <v>0</v>
      </c>
      <c r="CK142" s="94">
        <f t="shared" si="397"/>
        <v>0</v>
      </c>
      <c r="CL142" s="94">
        <f t="shared" si="397"/>
        <v>0</v>
      </c>
      <c r="CM142" s="94">
        <f t="shared" si="397"/>
        <v>0</v>
      </c>
      <c r="CN142" s="94">
        <f t="shared" si="397"/>
        <v>0</v>
      </c>
      <c r="CO142" s="94">
        <f t="shared" si="397"/>
        <v>0</v>
      </c>
      <c r="CP142" s="94">
        <f t="shared" si="397"/>
        <v>0</v>
      </c>
      <c r="CQ142" s="94">
        <f t="shared" si="397"/>
        <v>0</v>
      </c>
      <c r="CR142" s="94">
        <f t="shared" si="398"/>
        <v>0</v>
      </c>
      <c r="CS142" s="94">
        <f t="shared" si="398"/>
        <v>0</v>
      </c>
      <c r="CT142" s="94">
        <f t="shared" si="398"/>
        <v>0</v>
      </c>
      <c r="CU142" s="94">
        <f t="shared" si="398"/>
        <v>0</v>
      </c>
      <c r="CV142" s="94">
        <f t="shared" si="398"/>
        <v>0</v>
      </c>
      <c r="CW142" s="94">
        <f t="shared" si="398"/>
        <v>0</v>
      </c>
      <c r="CX142" s="94">
        <f t="shared" si="398"/>
        <v>0</v>
      </c>
      <c r="CY142" s="94">
        <f t="shared" si="398"/>
        <v>0</v>
      </c>
      <c r="CZ142" s="94">
        <f t="shared" si="398"/>
        <v>0</v>
      </c>
      <c r="DA142" s="94">
        <f t="shared" si="398"/>
        <v>0</v>
      </c>
      <c r="DB142" s="94">
        <f t="shared" si="399"/>
        <v>0</v>
      </c>
      <c r="DC142" s="94">
        <f t="shared" si="399"/>
        <v>0</v>
      </c>
      <c r="DD142" s="94">
        <f t="shared" si="399"/>
        <v>0</v>
      </c>
      <c r="DE142" s="94">
        <f t="shared" si="399"/>
        <v>0</v>
      </c>
      <c r="DF142" s="94">
        <f t="shared" si="399"/>
        <v>0</v>
      </c>
      <c r="DG142" s="94">
        <f t="shared" si="399"/>
        <v>0</v>
      </c>
      <c r="DH142" s="94">
        <f t="shared" si="399"/>
        <v>0</v>
      </c>
      <c r="DI142" s="94">
        <f t="shared" si="399"/>
        <v>0</v>
      </c>
      <c r="DJ142" s="94">
        <f t="shared" si="399"/>
        <v>0</v>
      </c>
      <c r="DK142" s="94">
        <f t="shared" si="399"/>
        <v>4121</v>
      </c>
      <c r="DL142" s="94">
        <f t="shared" si="400"/>
        <v>0</v>
      </c>
      <c r="DM142" s="94">
        <f t="shared" si="400"/>
        <v>0</v>
      </c>
      <c r="DN142" s="94">
        <f t="shared" si="400"/>
        <v>0</v>
      </c>
      <c r="DO142" s="94">
        <f t="shared" si="400"/>
        <v>0</v>
      </c>
      <c r="DP142" s="94">
        <f t="shared" si="400"/>
        <v>0</v>
      </c>
      <c r="DQ142" s="94">
        <f t="shared" si="400"/>
        <v>0</v>
      </c>
      <c r="DR142" s="94">
        <f t="shared" si="400"/>
        <v>0</v>
      </c>
      <c r="DS142" s="94">
        <f t="shared" si="400"/>
        <v>0</v>
      </c>
      <c r="DT142" s="94">
        <f t="shared" si="400"/>
        <v>0</v>
      </c>
      <c r="DU142" s="94">
        <f t="shared" si="400"/>
        <v>0</v>
      </c>
      <c r="DV142" s="94">
        <f t="shared" si="401"/>
        <v>0</v>
      </c>
      <c r="DW142" s="94">
        <f t="shared" si="401"/>
        <v>0</v>
      </c>
      <c r="DX142" s="94">
        <f t="shared" si="401"/>
        <v>0</v>
      </c>
      <c r="DY142" s="94">
        <f t="shared" si="401"/>
        <v>0</v>
      </c>
      <c r="DZ142" s="94">
        <f t="shared" si="401"/>
        <v>0</v>
      </c>
      <c r="EA142" s="94">
        <f t="shared" si="401"/>
        <v>0</v>
      </c>
      <c r="EB142" s="94">
        <f t="shared" si="401"/>
        <v>0</v>
      </c>
      <c r="EC142" s="94">
        <f t="shared" si="401"/>
        <v>0</v>
      </c>
      <c r="ED142" s="94">
        <f t="shared" si="401"/>
        <v>0</v>
      </c>
      <c r="EE142" s="94">
        <f t="shared" si="401"/>
        <v>0</v>
      </c>
      <c r="EF142" s="94">
        <f t="shared" si="402"/>
        <v>0</v>
      </c>
      <c r="EG142" s="94">
        <f t="shared" si="402"/>
        <v>0</v>
      </c>
      <c r="EH142" s="94">
        <f t="shared" si="402"/>
        <v>0</v>
      </c>
      <c r="EI142" s="94">
        <f t="shared" si="402"/>
        <v>0</v>
      </c>
      <c r="EJ142" s="94">
        <f t="shared" si="402"/>
        <v>0</v>
      </c>
      <c r="EK142" s="94">
        <f t="shared" si="402"/>
        <v>0</v>
      </c>
      <c r="EL142" s="94">
        <f t="shared" si="402"/>
        <v>0</v>
      </c>
    </row>
    <row r="143" spans="2:142" x14ac:dyDescent="0.3">
      <c r="B143" s="129" t="s">
        <v>788</v>
      </c>
      <c r="C143" s="129" t="s">
        <v>467</v>
      </c>
      <c r="D143" s="183" t="str">
        <f>IF(Menu!$D$12="PT",'Dados Financeiros'!B143,'Dados Financeiros'!C143)</f>
        <v>Compra e Venda de participação societária - FCX</v>
      </c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>
        <f>-98248-AO143-AP143-AQ143</f>
        <v>-98248</v>
      </c>
      <c r="AS143" s="4">
        <v>-5590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12446</v>
      </c>
      <c r="BH143" s="4">
        <v>-16007</v>
      </c>
      <c r="BI143" s="4">
        <v>-7</v>
      </c>
      <c r="BJ143" s="4">
        <v>0</v>
      </c>
      <c r="BK143" s="4">
        <v>97</v>
      </c>
      <c r="BL143" s="4">
        <v>-1481</v>
      </c>
      <c r="BM143" s="4">
        <v>739</v>
      </c>
      <c r="BN143" s="4">
        <v>-739</v>
      </c>
      <c r="BO143" s="4">
        <v>0</v>
      </c>
      <c r="BP143" s="4">
        <f>81-BO143-BN143-BM143</f>
        <v>81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  <c r="BX143" s="4">
        <v>0</v>
      </c>
      <c r="BY143" s="4">
        <v>-30841</v>
      </c>
      <c r="BZ143" s="4">
        <v>0</v>
      </c>
      <c r="CA143" s="4">
        <v>0</v>
      </c>
      <c r="CB143" s="4">
        <v>0</v>
      </c>
      <c r="CC143" s="4">
        <v>0</v>
      </c>
      <c r="CD143" s="4">
        <v>0</v>
      </c>
      <c r="CE143" s="4">
        <v>0</v>
      </c>
      <c r="CF143" s="4">
        <v>0</v>
      </c>
      <c r="CH143" s="94">
        <f t="shared" si="397"/>
        <v>0</v>
      </c>
      <c r="CI143" s="94">
        <f t="shared" si="397"/>
        <v>0</v>
      </c>
      <c r="CJ143" s="94">
        <f t="shared" si="397"/>
        <v>0</v>
      </c>
      <c r="CK143" s="94">
        <f t="shared" si="397"/>
        <v>0</v>
      </c>
      <c r="CL143" s="94">
        <f t="shared" si="397"/>
        <v>0</v>
      </c>
      <c r="CM143" s="94">
        <f t="shared" si="397"/>
        <v>0</v>
      </c>
      <c r="CN143" s="94">
        <f t="shared" si="397"/>
        <v>0</v>
      </c>
      <c r="CO143" s="94">
        <f t="shared" si="397"/>
        <v>0</v>
      </c>
      <c r="CP143" s="94">
        <f t="shared" si="397"/>
        <v>0</v>
      </c>
      <c r="CQ143" s="94">
        <f t="shared" si="397"/>
        <v>0</v>
      </c>
      <c r="CR143" s="94">
        <f t="shared" si="398"/>
        <v>0</v>
      </c>
      <c r="CS143" s="94">
        <f t="shared" si="398"/>
        <v>0</v>
      </c>
      <c r="CT143" s="94">
        <f t="shared" si="398"/>
        <v>0</v>
      </c>
      <c r="CU143" s="94">
        <f t="shared" si="398"/>
        <v>0</v>
      </c>
      <c r="CV143" s="94">
        <f t="shared" si="398"/>
        <v>0</v>
      </c>
      <c r="CW143" s="94">
        <f t="shared" si="398"/>
        <v>0</v>
      </c>
      <c r="CX143" s="94">
        <f t="shared" si="398"/>
        <v>0</v>
      </c>
      <c r="CY143" s="94">
        <f t="shared" si="398"/>
        <v>0</v>
      </c>
      <c r="CZ143" s="94">
        <f t="shared" si="398"/>
        <v>0</v>
      </c>
      <c r="DA143" s="94">
        <f t="shared" si="398"/>
        <v>0</v>
      </c>
      <c r="DB143" s="94">
        <f t="shared" si="399"/>
        <v>0</v>
      </c>
      <c r="DC143" s="94">
        <f t="shared" si="399"/>
        <v>0</v>
      </c>
      <c r="DD143" s="94">
        <f t="shared" si="399"/>
        <v>0</v>
      </c>
      <c r="DE143" s="94">
        <f t="shared" si="399"/>
        <v>0</v>
      </c>
      <c r="DF143" s="94">
        <f t="shared" si="399"/>
        <v>0</v>
      </c>
      <c r="DG143" s="94">
        <f t="shared" si="399"/>
        <v>0</v>
      </c>
      <c r="DH143" s="94">
        <f t="shared" si="399"/>
        <v>-98248</v>
      </c>
      <c r="DI143" s="94">
        <f t="shared" si="399"/>
        <v>-5590</v>
      </c>
      <c r="DJ143" s="94">
        <f t="shared" si="399"/>
        <v>-5590</v>
      </c>
      <c r="DK143" s="94">
        <f t="shared" si="399"/>
        <v>-5590</v>
      </c>
      <c r="DL143" s="94">
        <f t="shared" si="400"/>
        <v>0</v>
      </c>
      <c r="DM143" s="94">
        <f t="shared" si="400"/>
        <v>0</v>
      </c>
      <c r="DN143" s="94">
        <f t="shared" si="400"/>
        <v>0</v>
      </c>
      <c r="DO143" s="94">
        <f t="shared" si="400"/>
        <v>0</v>
      </c>
      <c r="DP143" s="94">
        <f t="shared" si="400"/>
        <v>0</v>
      </c>
      <c r="DQ143" s="94">
        <f t="shared" si="400"/>
        <v>0</v>
      </c>
      <c r="DR143" s="94">
        <f t="shared" si="400"/>
        <v>0</v>
      </c>
      <c r="DS143" s="94">
        <f t="shared" si="400"/>
        <v>12446</v>
      </c>
      <c r="DT143" s="94">
        <f t="shared" si="400"/>
        <v>-3561</v>
      </c>
      <c r="DU143" s="94">
        <f t="shared" si="400"/>
        <v>-7</v>
      </c>
      <c r="DV143" s="94">
        <f t="shared" si="401"/>
        <v>90</v>
      </c>
      <c r="DW143" s="94">
        <f t="shared" si="401"/>
        <v>-1391</v>
      </c>
      <c r="DX143" s="94">
        <f t="shared" si="401"/>
        <v>0</v>
      </c>
      <c r="DY143" s="94">
        <f t="shared" si="401"/>
        <v>0</v>
      </c>
      <c r="DZ143" s="94">
        <f t="shared" si="401"/>
        <v>81</v>
      </c>
      <c r="EA143" s="94">
        <f t="shared" si="401"/>
        <v>0</v>
      </c>
      <c r="EB143" s="94">
        <f t="shared" si="401"/>
        <v>0</v>
      </c>
      <c r="EC143" s="94">
        <f t="shared" si="401"/>
        <v>0</v>
      </c>
      <c r="ED143" s="94">
        <f t="shared" si="401"/>
        <v>0</v>
      </c>
      <c r="EE143" s="94">
        <f t="shared" si="401"/>
        <v>0</v>
      </c>
      <c r="EF143" s="94">
        <f t="shared" si="402"/>
        <v>0</v>
      </c>
      <c r="EG143" s="94">
        <f t="shared" si="402"/>
        <v>-30841</v>
      </c>
      <c r="EH143" s="94">
        <f t="shared" si="402"/>
        <v>-30841</v>
      </c>
      <c r="EI143" s="94">
        <f t="shared" si="402"/>
        <v>-30841</v>
      </c>
      <c r="EJ143" s="94">
        <f t="shared" si="402"/>
        <v>0</v>
      </c>
      <c r="EK143" s="94">
        <f t="shared" si="402"/>
        <v>0</v>
      </c>
      <c r="EL143" s="94">
        <f t="shared" si="402"/>
        <v>0</v>
      </c>
    </row>
    <row r="144" spans="2:142" x14ac:dyDescent="0.3">
      <c r="B144" s="129" t="s">
        <v>593</v>
      </c>
      <c r="C144" s="129" t="s">
        <v>450</v>
      </c>
      <c r="D144" s="183" t="str">
        <f>IF(Menu!$D$12="PT",'Dados Financeiros'!B144,'Dados Financeiros'!C144)</f>
        <v>Participações minoritárias - FCX</v>
      </c>
      <c r="E144" s="4">
        <v>-274</v>
      </c>
      <c r="F144" s="4">
        <v>452</v>
      </c>
      <c r="G144" s="4">
        <v>750</v>
      </c>
      <c r="H144" s="4">
        <v>791</v>
      </c>
      <c r="I144" s="4">
        <v>835</v>
      </c>
      <c r="J144" s="4">
        <v>1979</v>
      </c>
      <c r="K144" s="4">
        <v>2574</v>
      </c>
      <c r="L144" s="4">
        <v>3025</v>
      </c>
      <c r="M144" s="4">
        <v>3526</v>
      </c>
      <c r="N144" s="4">
        <v>5641</v>
      </c>
      <c r="O144" s="4">
        <v>7583</v>
      </c>
      <c r="P144" s="4">
        <v>5193</v>
      </c>
      <c r="Q144" s="4">
        <v>7344</v>
      </c>
      <c r="R144" s="4">
        <v>7405</v>
      </c>
      <c r="S144" s="4">
        <v>5679</v>
      </c>
      <c r="T144" s="4">
        <v>7653</v>
      </c>
      <c r="U144" s="4">
        <v>9151</v>
      </c>
      <c r="V144" s="4">
        <v>6323</v>
      </c>
      <c r="W144" s="4">
        <v>4035</v>
      </c>
      <c r="X144" s="4">
        <v>246</v>
      </c>
      <c r="Y144" s="4">
        <v>4633</v>
      </c>
      <c r="Z144" s="4">
        <v>4997</v>
      </c>
      <c r="AA144" s="4">
        <v>1238</v>
      </c>
      <c r="AB144" s="4">
        <v>1935</v>
      </c>
      <c r="AC144" s="4">
        <v>-1017</v>
      </c>
      <c r="AD144" s="4">
        <v>-631</v>
      </c>
      <c r="AE144" s="4">
        <v>-2136</v>
      </c>
      <c r="AF144" s="4">
        <v>-1788</v>
      </c>
      <c r="AG144" s="4">
        <v>24171</v>
      </c>
      <c r="AH144" s="4">
        <v>18759</v>
      </c>
      <c r="AI144" s="4">
        <v>11573</v>
      </c>
      <c r="AJ144" s="4">
        <v>9800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4">
        <v>0</v>
      </c>
      <c r="BN144" s="4">
        <v>0</v>
      </c>
      <c r="BO144" s="4">
        <v>0</v>
      </c>
      <c r="BP144" s="4">
        <v>0</v>
      </c>
      <c r="BQ144" s="4">
        <v>0</v>
      </c>
      <c r="BR144" s="4">
        <v>0</v>
      </c>
      <c r="BS144" s="4">
        <v>0</v>
      </c>
      <c r="BT144" s="4">
        <v>0</v>
      </c>
      <c r="BU144" s="4">
        <v>0</v>
      </c>
      <c r="BV144" s="4">
        <v>0</v>
      </c>
      <c r="BW144" s="4">
        <v>0</v>
      </c>
      <c r="BX144" s="4">
        <v>0</v>
      </c>
      <c r="BY144" s="4">
        <v>0</v>
      </c>
      <c r="BZ144" s="4">
        <v>-2716</v>
      </c>
      <c r="CA144" s="4">
        <v>-152</v>
      </c>
      <c r="CB144" s="4">
        <v>0</v>
      </c>
      <c r="CC144" s="4">
        <v>0</v>
      </c>
      <c r="CD144" s="4">
        <v>0</v>
      </c>
      <c r="CE144" s="4">
        <v>0</v>
      </c>
      <c r="CF144" s="4">
        <v>0</v>
      </c>
      <c r="CH144" s="94">
        <f t="shared" si="397"/>
        <v>178</v>
      </c>
      <c r="CI144" s="94">
        <f t="shared" si="397"/>
        <v>928</v>
      </c>
      <c r="CJ144" s="94">
        <f t="shared" si="397"/>
        <v>1719</v>
      </c>
      <c r="CK144" s="94">
        <f t="shared" si="397"/>
        <v>2814</v>
      </c>
      <c r="CL144" s="94">
        <f t="shared" si="397"/>
        <v>5388</v>
      </c>
      <c r="CM144" s="94">
        <f t="shared" si="397"/>
        <v>8413</v>
      </c>
      <c r="CN144" s="94">
        <f t="shared" si="397"/>
        <v>9167</v>
      </c>
      <c r="CO144" s="94">
        <f t="shared" si="397"/>
        <v>16750</v>
      </c>
      <c r="CP144" s="94">
        <f t="shared" si="397"/>
        <v>21943</v>
      </c>
      <c r="CQ144" s="94">
        <f t="shared" si="397"/>
        <v>14749</v>
      </c>
      <c r="CR144" s="94">
        <f t="shared" si="398"/>
        <v>20428</v>
      </c>
      <c r="CS144" s="94">
        <f t="shared" si="398"/>
        <v>28081</v>
      </c>
      <c r="CT144" s="94">
        <f t="shared" si="398"/>
        <v>15474</v>
      </c>
      <c r="CU144" s="94">
        <f t="shared" si="398"/>
        <v>19509</v>
      </c>
      <c r="CV144" s="94">
        <f t="shared" si="398"/>
        <v>19755</v>
      </c>
      <c r="CW144" s="94">
        <f t="shared" si="398"/>
        <v>6932</v>
      </c>
      <c r="CX144" s="94">
        <f t="shared" si="398"/>
        <v>6301</v>
      </c>
      <c r="CY144" s="94">
        <f t="shared" si="398"/>
        <v>4513</v>
      </c>
      <c r="CZ144" s="94">
        <f t="shared" si="398"/>
        <v>42930</v>
      </c>
      <c r="DA144" s="94">
        <f t="shared" si="398"/>
        <v>54503</v>
      </c>
      <c r="DB144" s="94">
        <f t="shared" si="399"/>
        <v>64303</v>
      </c>
      <c r="DC144" s="94">
        <f t="shared" si="399"/>
        <v>0</v>
      </c>
      <c r="DD144" s="94">
        <f t="shared" si="399"/>
        <v>0</v>
      </c>
      <c r="DE144" s="94">
        <f t="shared" si="399"/>
        <v>0</v>
      </c>
      <c r="DF144" s="94">
        <f t="shared" si="399"/>
        <v>0</v>
      </c>
      <c r="DG144" s="94">
        <f t="shared" si="399"/>
        <v>0</v>
      </c>
      <c r="DH144" s="94">
        <f t="shared" si="399"/>
        <v>0</v>
      </c>
      <c r="DI144" s="94">
        <f t="shared" si="399"/>
        <v>0</v>
      </c>
      <c r="DJ144" s="94">
        <f t="shared" si="399"/>
        <v>0</v>
      </c>
      <c r="DK144" s="94">
        <f t="shared" si="399"/>
        <v>0</v>
      </c>
      <c r="DL144" s="94">
        <f t="shared" si="400"/>
        <v>0</v>
      </c>
      <c r="DM144" s="94">
        <f t="shared" si="400"/>
        <v>0</v>
      </c>
      <c r="DN144" s="94">
        <f t="shared" si="400"/>
        <v>0</v>
      </c>
      <c r="DO144" s="94">
        <f t="shared" si="400"/>
        <v>0</v>
      </c>
      <c r="DP144" s="94">
        <f t="shared" si="400"/>
        <v>0</v>
      </c>
      <c r="DQ144" s="94">
        <f t="shared" si="400"/>
        <v>0</v>
      </c>
      <c r="DR144" s="94">
        <f t="shared" si="400"/>
        <v>0</v>
      </c>
      <c r="DS144" s="94">
        <f t="shared" si="400"/>
        <v>0</v>
      </c>
      <c r="DT144" s="94">
        <f t="shared" si="400"/>
        <v>0</v>
      </c>
      <c r="DU144" s="94">
        <f t="shared" si="400"/>
        <v>0</v>
      </c>
      <c r="DV144" s="94">
        <f t="shared" si="401"/>
        <v>0</v>
      </c>
      <c r="DW144" s="94">
        <f t="shared" si="401"/>
        <v>0</v>
      </c>
      <c r="DX144" s="94">
        <f t="shared" si="401"/>
        <v>0</v>
      </c>
      <c r="DY144" s="94">
        <f t="shared" si="401"/>
        <v>0</v>
      </c>
      <c r="DZ144" s="94">
        <f t="shared" si="401"/>
        <v>0</v>
      </c>
      <c r="EA144" s="94">
        <f t="shared" si="401"/>
        <v>0</v>
      </c>
      <c r="EB144" s="94">
        <f t="shared" si="401"/>
        <v>0</v>
      </c>
      <c r="EC144" s="94">
        <f t="shared" si="401"/>
        <v>0</v>
      </c>
      <c r="ED144" s="94">
        <f t="shared" si="401"/>
        <v>0</v>
      </c>
      <c r="EE144" s="94">
        <f t="shared" si="401"/>
        <v>0</v>
      </c>
      <c r="EF144" s="94">
        <f t="shared" si="402"/>
        <v>0</v>
      </c>
      <c r="EG144" s="94">
        <f t="shared" si="402"/>
        <v>-2716</v>
      </c>
      <c r="EH144" s="94">
        <f t="shared" si="402"/>
        <v>-2868</v>
      </c>
      <c r="EI144" s="94">
        <f t="shared" si="402"/>
        <v>-2868</v>
      </c>
      <c r="EJ144" s="94">
        <f t="shared" si="402"/>
        <v>0</v>
      </c>
      <c r="EK144" s="94">
        <f t="shared" si="402"/>
        <v>0</v>
      </c>
      <c r="EL144" s="94">
        <f t="shared" si="402"/>
        <v>0</v>
      </c>
    </row>
    <row r="145" spans="2:142" ht="14.4" thickBot="1" x14ac:dyDescent="0.35">
      <c r="B145" s="130" t="s">
        <v>789</v>
      </c>
      <c r="C145" s="130" t="s">
        <v>650</v>
      </c>
      <c r="D145" s="200" t="str">
        <f>IF(Menu!$D$12="PT",'Dados Financeiros'!B145,'Dados Financeiros'!C145)</f>
        <v>Ajuste a valor presente - FCX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184</v>
      </c>
      <c r="BO145" s="3">
        <v>94</v>
      </c>
      <c r="BP145" s="3">
        <v>240</v>
      </c>
      <c r="BQ145" s="3">
        <v>822</v>
      </c>
      <c r="BR145" s="3">
        <v>519</v>
      </c>
      <c r="BS145" s="3">
        <v>404</v>
      </c>
      <c r="BT145" s="3">
        <v>242</v>
      </c>
      <c r="BU145" s="3">
        <v>449</v>
      </c>
      <c r="BV145" s="3">
        <v>115</v>
      </c>
      <c r="BW145" s="3">
        <v>157</v>
      </c>
      <c r="BX145" s="3">
        <v>762</v>
      </c>
      <c r="BY145" s="3">
        <v>1184</v>
      </c>
      <c r="BZ145" s="3">
        <v>0</v>
      </c>
      <c r="CA145" s="3">
        <v>0</v>
      </c>
      <c r="CB145" s="3">
        <v>-746</v>
      </c>
      <c r="CC145" s="3">
        <v>-529</v>
      </c>
      <c r="CD145" s="3">
        <v>188</v>
      </c>
      <c r="CE145" s="3">
        <v>352</v>
      </c>
      <c r="CF145" s="3">
        <v>-1110</v>
      </c>
      <c r="CH145" s="3">
        <f t="shared" si="397"/>
        <v>0</v>
      </c>
      <c r="CI145" s="3">
        <f t="shared" si="397"/>
        <v>0</v>
      </c>
      <c r="CJ145" s="3">
        <f t="shared" si="397"/>
        <v>0</v>
      </c>
      <c r="CK145" s="3">
        <f t="shared" si="397"/>
        <v>0</v>
      </c>
      <c r="CL145" s="3">
        <f t="shared" si="397"/>
        <v>0</v>
      </c>
      <c r="CM145" s="3">
        <f t="shared" si="397"/>
        <v>0</v>
      </c>
      <c r="CN145" s="3">
        <f t="shared" si="397"/>
        <v>0</v>
      </c>
      <c r="CO145" s="3">
        <f t="shared" si="397"/>
        <v>0</v>
      </c>
      <c r="CP145" s="3">
        <f t="shared" si="397"/>
        <v>0</v>
      </c>
      <c r="CQ145" s="3">
        <f t="shared" si="397"/>
        <v>0</v>
      </c>
      <c r="CR145" s="3">
        <f t="shared" si="398"/>
        <v>0</v>
      </c>
      <c r="CS145" s="3">
        <f t="shared" si="398"/>
        <v>0</v>
      </c>
      <c r="CT145" s="3">
        <f t="shared" si="398"/>
        <v>0</v>
      </c>
      <c r="CU145" s="3">
        <f t="shared" si="398"/>
        <v>0</v>
      </c>
      <c r="CV145" s="3">
        <f t="shared" si="398"/>
        <v>0</v>
      </c>
      <c r="CW145" s="3">
        <f t="shared" si="398"/>
        <v>0</v>
      </c>
      <c r="CX145" s="3">
        <f t="shared" si="398"/>
        <v>0</v>
      </c>
      <c r="CY145" s="3">
        <f t="shared" si="398"/>
        <v>0</v>
      </c>
      <c r="CZ145" s="3">
        <f t="shared" si="398"/>
        <v>0</v>
      </c>
      <c r="DA145" s="3">
        <f t="shared" si="398"/>
        <v>0</v>
      </c>
      <c r="DB145" s="3">
        <f t="shared" si="399"/>
        <v>0</v>
      </c>
      <c r="DC145" s="3">
        <f t="shared" si="399"/>
        <v>0</v>
      </c>
      <c r="DD145" s="3">
        <f t="shared" si="399"/>
        <v>0</v>
      </c>
      <c r="DE145" s="3">
        <f t="shared" si="399"/>
        <v>0</v>
      </c>
      <c r="DF145" s="3">
        <f t="shared" si="399"/>
        <v>0</v>
      </c>
      <c r="DG145" s="3">
        <f t="shared" si="399"/>
        <v>0</v>
      </c>
      <c r="DH145" s="3">
        <f t="shared" si="399"/>
        <v>0</v>
      </c>
      <c r="DI145" s="3">
        <f t="shared" si="399"/>
        <v>0</v>
      </c>
      <c r="DJ145" s="3">
        <f t="shared" si="399"/>
        <v>0</v>
      </c>
      <c r="DK145" s="3">
        <f t="shared" si="399"/>
        <v>0</v>
      </c>
      <c r="DL145" s="3">
        <f t="shared" si="400"/>
        <v>0</v>
      </c>
      <c r="DM145" s="3">
        <f t="shared" si="400"/>
        <v>0</v>
      </c>
      <c r="DN145" s="3">
        <f t="shared" si="400"/>
        <v>0</v>
      </c>
      <c r="DO145" s="3">
        <f t="shared" si="400"/>
        <v>0</v>
      </c>
      <c r="DP145" s="3">
        <f t="shared" si="400"/>
        <v>0</v>
      </c>
      <c r="DQ145" s="3">
        <f t="shared" si="400"/>
        <v>0</v>
      </c>
      <c r="DR145" s="3">
        <f t="shared" si="400"/>
        <v>0</v>
      </c>
      <c r="DS145" s="3">
        <f t="shared" si="400"/>
        <v>0</v>
      </c>
      <c r="DT145" s="3">
        <f t="shared" si="400"/>
        <v>0</v>
      </c>
      <c r="DU145" s="3">
        <f t="shared" si="400"/>
        <v>0</v>
      </c>
      <c r="DV145" s="3">
        <f t="shared" si="401"/>
        <v>0</v>
      </c>
      <c r="DW145" s="3">
        <f t="shared" si="401"/>
        <v>0</v>
      </c>
      <c r="DX145" s="3">
        <f t="shared" si="401"/>
        <v>184</v>
      </c>
      <c r="DY145" s="3">
        <f t="shared" si="401"/>
        <v>278</v>
      </c>
      <c r="DZ145" s="3">
        <f t="shared" si="401"/>
        <v>518</v>
      </c>
      <c r="EA145" s="3">
        <f t="shared" si="401"/>
        <v>1341</v>
      </c>
      <c r="EB145" s="3">
        <f t="shared" si="401"/>
        <v>1745</v>
      </c>
      <c r="EC145" s="3">
        <f t="shared" si="401"/>
        <v>1987</v>
      </c>
      <c r="ED145" s="3">
        <f t="shared" si="401"/>
        <v>564</v>
      </c>
      <c r="EE145" s="3">
        <f t="shared" si="401"/>
        <v>721</v>
      </c>
      <c r="EF145" s="3">
        <f t="shared" si="402"/>
        <v>1483</v>
      </c>
      <c r="EG145" s="3">
        <f t="shared" si="402"/>
        <v>1184</v>
      </c>
      <c r="EH145" s="3">
        <f t="shared" si="402"/>
        <v>1184</v>
      </c>
      <c r="EI145" s="3">
        <f t="shared" si="402"/>
        <v>438</v>
      </c>
      <c r="EJ145" s="3">
        <f t="shared" si="402"/>
        <v>-341</v>
      </c>
      <c r="EK145" s="3">
        <f t="shared" si="402"/>
        <v>11</v>
      </c>
      <c r="EL145" s="3">
        <f t="shared" si="402"/>
        <v>-1099</v>
      </c>
    </row>
    <row r="146" spans="2:142" x14ac:dyDescent="0.3">
      <c r="B146" s="19"/>
      <c r="C146" s="131"/>
      <c r="D146" s="201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H146" s="135"/>
      <c r="CI146" s="135"/>
      <c r="CJ146" s="135"/>
      <c r="CK146" s="135"/>
      <c r="CL146" s="135"/>
      <c r="CM146" s="135"/>
      <c r="CN146" s="135"/>
      <c r="CO146" s="135"/>
      <c r="CP146" s="135"/>
      <c r="CQ146" s="135"/>
      <c r="CR146" s="135"/>
      <c r="CS146" s="135"/>
      <c r="CT146" s="135"/>
      <c r="CU146" s="135"/>
      <c r="CV146" s="135"/>
      <c r="CW146" s="135"/>
      <c r="CX146" s="135"/>
      <c r="CY146" s="135"/>
      <c r="CZ146" s="135"/>
      <c r="DA146" s="135"/>
      <c r="DB146" s="135"/>
      <c r="DC146" s="135"/>
      <c r="DD146" s="135"/>
      <c r="DE146" s="135"/>
      <c r="DF146" s="135"/>
      <c r="DG146" s="135"/>
      <c r="DH146" s="135"/>
      <c r="DI146" s="135"/>
      <c r="DJ146" s="135"/>
      <c r="DK146" s="135"/>
      <c r="DL146" s="135"/>
      <c r="DM146" s="135"/>
      <c r="DN146" s="135"/>
      <c r="DO146" s="135"/>
      <c r="DP146" s="135"/>
      <c r="DQ146" s="135"/>
      <c r="DR146" s="135"/>
      <c r="DS146" s="135"/>
      <c r="DT146" s="135"/>
      <c r="DU146" s="135"/>
      <c r="DV146" s="135"/>
      <c r="DW146" s="135"/>
      <c r="DX146" s="135"/>
      <c r="DY146" s="135"/>
      <c r="DZ146" s="135"/>
      <c r="EA146" s="135"/>
      <c r="EB146" s="135"/>
      <c r="EC146" s="135"/>
      <c r="ED146" s="135"/>
      <c r="EE146" s="135"/>
      <c r="EF146" s="135"/>
      <c r="EG146" s="135"/>
      <c r="EH146" s="135"/>
      <c r="EI146" s="135"/>
      <c r="EJ146" s="135"/>
      <c r="EK146" s="135"/>
      <c r="EL146" s="135"/>
    </row>
    <row r="147" spans="2:142" ht="14.4" thickBot="1" x14ac:dyDescent="0.35">
      <c r="B147" s="21" t="s">
        <v>30</v>
      </c>
      <c r="C147" s="21" t="s">
        <v>468</v>
      </c>
      <c r="D147" s="181" t="str">
        <f>IF(Menu!$D$12="PT",'Dados Financeiros'!B147,'Dados Financeiros'!C147)</f>
        <v>Diminuição (aumento) nas contas dos ativos e passivos</v>
      </c>
      <c r="E147" s="20">
        <f t="shared" ref="E147:AJ147" si="403">SUM(E148:E167)</f>
        <v>-57957</v>
      </c>
      <c r="F147" s="20">
        <f t="shared" si="403"/>
        <v>-216829</v>
      </c>
      <c r="G147" s="20">
        <f t="shared" si="403"/>
        <v>-96782</v>
      </c>
      <c r="H147" s="20">
        <f t="shared" si="403"/>
        <v>-75858</v>
      </c>
      <c r="I147" s="20">
        <f t="shared" si="403"/>
        <v>-62707</v>
      </c>
      <c r="J147" s="20">
        <f t="shared" si="403"/>
        <v>-53479</v>
      </c>
      <c r="K147" s="20">
        <f t="shared" si="403"/>
        <v>-63992</v>
      </c>
      <c r="L147" s="20">
        <f t="shared" si="403"/>
        <v>-85082</v>
      </c>
      <c r="M147" s="20">
        <f t="shared" si="403"/>
        <v>-58541</v>
      </c>
      <c r="N147" s="20">
        <f t="shared" si="403"/>
        <v>-75604</v>
      </c>
      <c r="O147" s="20">
        <f t="shared" si="403"/>
        <v>-121469</v>
      </c>
      <c r="P147" s="20">
        <f t="shared" si="403"/>
        <v>-122657</v>
      </c>
      <c r="Q147" s="20">
        <f t="shared" si="403"/>
        <v>-170968</v>
      </c>
      <c r="R147" s="20">
        <f t="shared" si="403"/>
        <v>-135946</v>
      </c>
      <c r="S147" s="20">
        <f t="shared" si="403"/>
        <v>-208010</v>
      </c>
      <c r="T147" s="20">
        <f t="shared" si="403"/>
        <v>-240466</v>
      </c>
      <c r="U147" s="20">
        <f t="shared" si="403"/>
        <v>-192927</v>
      </c>
      <c r="V147" s="20">
        <f t="shared" si="403"/>
        <v>-124855</v>
      </c>
      <c r="W147" s="20">
        <f t="shared" si="403"/>
        <v>-135976</v>
      </c>
      <c r="X147" s="20">
        <f t="shared" si="403"/>
        <v>-12186</v>
      </c>
      <c r="Y147" s="20">
        <f t="shared" si="403"/>
        <v>-80904</v>
      </c>
      <c r="Z147" s="20">
        <f t="shared" si="403"/>
        <v>-108332</v>
      </c>
      <c r="AA147" s="20">
        <f t="shared" si="403"/>
        <v>-76094</v>
      </c>
      <c r="AB147" s="20">
        <f t="shared" si="403"/>
        <v>-109658</v>
      </c>
      <c r="AC147" s="20">
        <f t="shared" si="403"/>
        <v>-117280</v>
      </c>
      <c r="AD147" s="20">
        <f t="shared" si="403"/>
        <v>-121692</v>
      </c>
      <c r="AE147" s="20">
        <f t="shared" si="403"/>
        <v>-99302</v>
      </c>
      <c r="AF147" s="20">
        <f t="shared" si="403"/>
        <v>-127660</v>
      </c>
      <c r="AG147" s="20">
        <f t="shared" si="403"/>
        <v>-135956</v>
      </c>
      <c r="AH147" s="20">
        <f t="shared" si="403"/>
        <v>-131400</v>
      </c>
      <c r="AI147" s="20">
        <f t="shared" si="403"/>
        <v>-227473</v>
      </c>
      <c r="AJ147" s="20">
        <f t="shared" si="403"/>
        <v>-23307</v>
      </c>
      <c r="AK147" s="20">
        <f t="shared" ref="AK147:BN147" si="404">SUM(AK148:AK167)</f>
        <v>-308463</v>
      </c>
      <c r="AL147" s="20">
        <f t="shared" si="404"/>
        <v>-147195</v>
      </c>
      <c r="AM147" s="20">
        <f t="shared" si="404"/>
        <v>-151275</v>
      </c>
      <c r="AN147" s="20">
        <f t="shared" si="404"/>
        <v>47662</v>
      </c>
      <c r="AO147" s="20">
        <f t="shared" si="404"/>
        <v>-34136</v>
      </c>
      <c r="AP147" s="20">
        <f t="shared" si="404"/>
        <v>-49401</v>
      </c>
      <c r="AQ147" s="20">
        <f t="shared" si="404"/>
        <v>-54841</v>
      </c>
      <c r="AR147" s="20">
        <f t="shared" si="404"/>
        <v>177626</v>
      </c>
      <c r="AS147" s="20">
        <f t="shared" si="404"/>
        <v>-87404</v>
      </c>
      <c r="AT147" s="20">
        <f t="shared" si="404"/>
        <v>10980</v>
      </c>
      <c r="AU147" s="20">
        <f t="shared" si="404"/>
        <v>33307</v>
      </c>
      <c r="AV147" s="20">
        <f t="shared" si="404"/>
        <v>196419</v>
      </c>
      <c r="AW147" s="20">
        <f t="shared" si="404"/>
        <v>29638</v>
      </c>
      <c r="AX147" s="20">
        <f t="shared" si="404"/>
        <v>161877</v>
      </c>
      <c r="AY147" s="20">
        <f t="shared" si="404"/>
        <v>55185</v>
      </c>
      <c r="AZ147" s="20">
        <f t="shared" si="404"/>
        <v>133331</v>
      </c>
      <c r="BA147" s="20">
        <f t="shared" si="404"/>
        <v>52397</v>
      </c>
      <c r="BB147" s="20">
        <f t="shared" si="404"/>
        <v>83215</v>
      </c>
      <c r="BC147" s="20">
        <f t="shared" si="404"/>
        <v>91033</v>
      </c>
      <c r="BD147" s="20">
        <f t="shared" si="404"/>
        <v>25678</v>
      </c>
      <c r="BE147" s="20">
        <f t="shared" si="404"/>
        <v>59456</v>
      </c>
      <c r="BF147" s="20">
        <f t="shared" si="404"/>
        <v>54804</v>
      </c>
      <c r="BG147" s="20">
        <f t="shared" si="404"/>
        <v>47620</v>
      </c>
      <c r="BH147" s="20">
        <f t="shared" si="404"/>
        <v>51681</v>
      </c>
      <c r="BI147" s="20">
        <f t="shared" si="404"/>
        <v>-39057</v>
      </c>
      <c r="BJ147" s="20">
        <f t="shared" si="404"/>
        <v>28286</v>
      </c>
      <c r="BK147" s="20">
        <f t="shared" si="404"/>
        <v>-48052</v>
      </c>
      <c r="BL147" s="20">
        <f t="shared" si="404"/>
        <v>-47670</v>
      </c>
      <c r="BM147" s="20">
        <f t="shared" si="404"/>
        <v>2943</v>
      </c>
      <c r="BN147" s="20">
        <f t="shared" si="404"/>
        <v>-76929</v>
      </c>
      <c r="BO147" s="20">
        <v>55635</v>
      </c>
      <c r="BP147" s="20">
        <f t="shared" ref="BP147:BQ147" si="405">SUM(BP148:BP167)</f>
        <v>4557</v>
      </c>
      <c r="BQ147" s="20">
        <f t="shared" si="405"/>
        <v>-15400</v>
      </c>
      <c r="BR147" s="20">
        <f>SUM(BR148:BR167)</f>
        <v>-14802</v>
      </c>
      <c r="BS147" s="20">
        <f>SUM(BS148:BS167)</f>
        <v>-39878</v>
      </c>
      <c r="BT147" s="20">
        <f>SUM(BT148:BT167)</f>
        <v>19066</v>
      </c>
      <c r="BU147" s="20">
        <f>SUM(BU148:BU167)</f>
        <v>-45025</v>
      </c>
      <c r="BV147" s="20">
        <f>SUM(BV148:BV167)</f>
        <v>-51016</v>
      </c>
      <c r="BW147" s="20">
        <v>-57171</v>
      </c>
      <c r="BX147" s="20">
        <f t="shared" ref="BX147:CD147" si="406">SUM(BX148:BX167)</f>
        <v>-75383</v>
      </c>
      <c r="BY147" s="20">
        <f t="shared" si="406"/>
        <v>15801</v>
      </c>
      <c r="BZ147" s="20">
        <f t="shared" si="406"/>
        <v>57237</v>
      </c>
      <c r="CA147" s="20">
        <f t="shared" si="406"/>
        <v>54236</v>
      </c>
      <c r="CB147" s="20">
        <f t="shared" si="406"/>
        <v>43430</v>
      </c>
      <c r="CC147" s="20">
        <f t="shared" si="406"/>
        <v>58746</v>
      </c>
      <c r="CD147" s="20">
        <f t="shared" si="406"/>
        <v>-4714</v>
      </c>
      <c r="CE147" s="20">
        <f t="shared" ref="CE147:CF147" si="407">SUM(CE148:CE167)</f>
        <v>-24429</v>
      </c>
      <c r="CF147" s="20">
        <f t="shared" si="407"/>
        <v>36987</v>
      </c>
      <c r="CH147" s="20">
        <f t="shared" ref="CH147:DU147" si="408">SUM(CH148:CH167)</f>
        <v>-274786</v>
      </c>
      <c r="CI147" s="20">
        <f t="shared" si="408"/>
        <v>-371568</v>
      </c>
      <c r="CJ147" s="20">
        <f t="shared" si="408"/>
        <v>-447426</v>
      </c>
      <c r="CK147" s="20">
        <f t="shared" si="408"/>
        <v>-116186</v>
      </c>
      <c r="CL147" s="20">
        <f t="shared" si="408"/>
        <v>-180178</v>
      </c>
      <c r="CM147" s="20">
        <f t="shared" si="408"/>
        <v>-265260</v>
      </c>
      <c r="CN147" s="20">
        <f t="shared" si="408"/>
        <v>-134145</v>
      </c>
      <c r="CO147" s="20">
        <f t="shared" si="408"/>
        <v>-255614</v>
      </c>
      <c r="CP147" s="20">
        <f t="shared" si="408"/>
        <v>-378271</v>
      </c>
      <c r="CQ147" s="20">
        <f t="shared" si="408"/>
        <v>-306914</v>
      </c>
      <c r="CR147" s="20">
        <f t="shared" si="408"/>
        <v>-514924</v>
      </c>
      <c r="CS147" s="20">
        <f t="shared" si="408"/>
        <v>-755390</v>
      </c>
      <c r="CT147" s="20">
        <f t="shared" si="408"/>
        <v>-317782</v>
      </c>
      <c r="CU147" s="20">
        <f t="shared" si="408"/>
        <v>-453758</v>
      </c>
      <c r="CV147" s="20">
        <f t="shared" si="408"/>
        <v>-465944</v>
      </c>
      <c r="CW147" s="20">
        <f t="shared" si="408"/>
        <v>-217990</v>
      </c>
      <c r="CX147" s="20">
        <f t="shared" si="408"/>
        <v>-339682</v>
      </c>
      <c r="CY147" s="20">
        <f t="shared" si="408"/>
        <v>-467342</v>
      </c>
      <c r="CZ147" s="20">
        <f t="shared" si="408"/>
        <v>-267356</v>
      </c>
      <c r="DA147" s="20">
        <f t="shared" si="408"/>
        <v>-494829</v>
      </c>
      <c r="DB147" s="20">
        <f t="shared" si="408"/>
        <v>-518136</v>
      </c>
      <c r="DC147" s="20">
        <f t="shared" si="408"/>
        <v>-455658</v>
      </c>
      <c r="DD147" s="20">
        <f t="shared" si="408"/>
        <v>-606933</v>
      </c>
      <c r="DE147" s="20">
        <f t="shared" si="408"/>
        <v>-559271</v>
      </c>
      <c r="DF147" s="20">
        <f t="shared" si="408"/>
        <v>-83537</v>
      </c>
      <c r="DG147" s="20">
        <f t="shared" si="408"/>
        <v>-138378</v>
      </c>
      <c r="DH147" s="20">
        <f t="shared" si="408"/>
        <v>39248</v>
      </c>
      <c r="DI147" s="20">
        <f t="shared" si="408"/>
        <v>-76424</v>
      </c>
      <c r="DJ147" s="20">
        <f t="shared" si="408"/>
        <v>-43117</v>
      </c>
      <c r="DK147" s="20">
        <f t="shared" si="408"/>
        <v>153302</v>
      </c>
      <c r="DL147" s="20">
        <f t="shared" si="408"/>
        <v>191515</v>
      </c>
      <c r="DM147" s="20">
        <f t="shared" si="408"/>
        <v>246700</v>
      </c>
      <c r="DN147" s="20">
        <f t="shared" si="408"/>
        <v>380031</v>
      </c>
      <c r="DO147" s="20">
        <f t="shared" si="408"/>
        <v>135612</v>
      </c>
      <c r="DP147" s="20">
        <f t="shared" si="408"/>
        <v>226645</v>
      </c>
      <c r="DQ147" s="20">
        <f t="shared" si="408"/>
        <v>252323</v>
      </c>
      <c r="DR147" s="20">
        <f t="shared" si="408"/>
        <v>114260</v>
      </c>
      <c r="DS147" s="20">
        <f t="shared" si="408"/>
        <v>161880</v>
      </c>
      <c r="DT147" s="20">
        <f t="shared" si="408"/>
        <v>213561</v>
      </c>
      <c r="DU147" s="20">
        <f t="shared" si="408"/>
        <v>-10771</v>
      </c>
      <c r="DV147" s="20">
        <f t="shared" ref="DV147:DX147" si="409">SUM(DV148:DV167)</f>
        <v>-58823</v>
      </c>
      <c r="DW147" s="20">
        <f t="shared" si="409"/>
        <v>-106493</v>
      </c>
      <c r="DX147" s="20">
        <f t="shared" si="409"/>
        <v>-73986</v>
      </c>
      <c r="DY147" s="20">
        <f t="shared" ref="DY147:EB147" si="410">SUM(DY148:DY167)</f>
        <v>-18351</v>
      </c>
      <c r="DZ147" s="20">
        <f t="shared" si="410"/>
        <v>-13794</v>
      </c>
      <c r="EA147" s="20">
        <f t="shared" si="410"/>
        <v>-30202</v>
      </c>
      <c r="EB147" s="20">
        <f t="shared" si="410"/>
        <v>-70080</v>
      </c>
      <c r="EC147" s="20">
        <f t="shared" ref="EC147:EF147" si="411">SUM(EC148:EC167)</f>
        <v>-51014</v>
      </c>
      <c r="ED147" s="20">
        <f t="shared" si="411"/>
        <v>-96041</v>
      </c>
      <c r="EE147" s="20">
        <f t="shared" si="411"/>
        <v>-153212</v>
      </c>
      <c r="EF147" s="20">
        <f t="shared" si="411"/>
        <v>-228595</v>
      </c>
      <c r="EG147" s="20">
        <f t="shared" ref="EG147:EH147" si="412">SUM(EG148:EG167)</f>
        <v>73038</v>
      </c>
      <c r="EH147" s="20">
        <f t="shared" si="412"/>
        <v>127274</v>
      </c>
      <c r="EI147" s="20">
        <f t="shared" ref="EI147:EK147" si="413">SUM(EI148:EI167)</f>
        <v>170704</v>
      </c>
      <c r="EJ147" s="20">
        <f t="shared" si="413"/>
        <v>54032</v>
      </c>
      <c r="EK147" s="20">
        <f t="shared" si="413"/>
        <v>29603</v>
      </c>
      <c r="EL147" s="20">
        <f t="shared" ref="EL147" si="414">SUM(EL148:EL167)</f>
        <v>66590</v>
      </c>
    </row>
    <row r="148" spans="2:142" x14ac:dyDescent="0.3">
      <c r="B148" s="129" t="s">
        <v>594</v>
      </c>
      <c r="C148" s="129" t="s">
        <v>385</v>
      </c>
      <c r="D148" s="183" t="str">
        <f>IF(Menu!$D$12="PT",'Dados Financeiros'!B148,'Dados Financeiros'!C148)</f>
        <v>Contas a receber - FCX</v>
      </c>
      <c r="E148" s="4">
        <v>-30551</v>
      </c>
      <c r="F148" s="4">
        <v>-43546</v>
      </c>
      <c r="G148" s="4">
        <v>-49741</v>
      </c>
      <c r="H148" s="4">
        <v>-21992</v>
      </c>
      <c r="I148" s="4">
        <v>-38966</v>
      </c>
      <c r="J148" s="4">
        <v>-53272</v>
      </c>
      <c r="K148" s="4">
        <v>-37370</v>
      </c>
      <c r="L148" s="4">
        <v>-49920</v>
      </c>
      <c r="M148" s="4">
        <v>-68348</v>
      </c>
      <c r="N148" s="4">
        <v>-91061</v>
      </c>
      <c r="O148" s="4">
        <v>-89533</v>
      </c>
      <c r="P148" s="4">
        <v>-81257</v>
      </c>
      <c r="Q148" s="4">
        <v>-131884</v>
      </c>
      <c r="R148" s="4">
        <v>-123732</v>
      </c>
      <c r="S148" s="4">
        <v>-139623</v>
      </c>
      <c r="T148" s="4">
        <v>-326181</v>
      </c>
      <c r="U148" s="4">
        <v>-156808</v>
      </c>
      <c r="V148" s="4">
        <v>-202388</v>
      </c>
      <c r="W148" s="4">
        <v>-137565</v>
      </c>
      <c r="X148" s="4">
        <v>18252</v>
      </c>
      <c r="Y148" s="4">
        <v>-4261</v>
      </c>
      <c r="Z148" s="4">
        <v>-33228</v>
      </c>
      <c r="AA148" s="4">
        <v>-114002</v>
      </c>
      <c r="AB148" s="4">
        <v>-124568</v>
      </c>
      <c r="AC148" s="4">
        <v>-119492</v>
      </c>
      <c r="AD148" s="4">
        <v>-125864</v>
      </c>
      <c r="AE148" s="4">
        <v>85505</v>
      </c>
      <c r="AF148" s="4">
        <v>44879</v>
      </c>
      <c r="AG148" s="4">
        <v>-135672</v>
      </c>
      <c r="AH148" s="4">
        <v>-81494</v>
      </c>
      <c r="AI148" s="4">
        <v>-109414</v>
      </c>
      <c r="AJ148" s="4">
        <v>-14383</v>
      </c>
      <c r="AK148" s="4">
        <v>-92374</v>
      </c>
      <c r="AL148" s="4">
        <v>-86964</v>
      </c>
      <c r="AM148" s="4">
        <v>37920</v>
      </c>
      <c r="AN148" s="4">
        <v>193523</v>
      </c>
      <c r="AO148" s="4">
        <v>73393</v>
      </c>
      <c r="AP148" s="4">
        <v>69419</v>
      </c>
      <c r="AQ148" s="4">
        <v>47041</v>
      </c>
      <c r="AR148" s="4">
        <v>416781</v>
      </c>
      <c r="AS148" s="4">
        <v>-3</v>
      </c>
      <c r="AT148" s="4">
        <v>72358</v>
      </c>
      <c r="AU148" s="4">
        <v>173891</v>
      </c>
      <c r="AV148" s="4">
        <v>94052</v>
      </c>
      <c r="AW148" s="4">
        <v>79689</v>
      </c>
      <c r="AX148" s="4">
        <v>101534</v>
      </c>
      <c r="AY148" s="4">
        <v>131081</v>
      </c>
      <c r="AZ148" s="4">
        <v>40806</v>
      </c>
      <c r="BA148" s="94">
        <v>44216</v>
      </c>
      <c r="BB148" s="4">
        <v>56846</v>
      </c>
      <c r="BC148" s="4">
        <v>98568</v>
      </c>
      <c r="BD148" s="4">
        <v>11899</v>
      </c>
      <c r="BE148" s="4">
        <v>23296</v>
      </c>
      <c r="BF148" s="4">
        <v>24593</v>
      </c>
      <c r="BG148" s="4">
        <v>7215</v>
      </c>
      <c r="BH148" s="4">
        <v>-17218</v>
      </c>
      <c r="BI148" s="4">
        <v>-4334</v>
      </c>
      <c r="BJ148" s="4">
        <v>-17672</v>
      </c>
      <c r="BK148" s="4">
        <v>-20533</v>
      </c>
      <c r="BL148" s="4">
        <v>-8243</v>
      </c>
      <c r="BM148" s="4">
        <v>63273</v>
      </c>
      <c r="BN148" s="4">
        <v>-2026</v>
      </c>
      <c r="BO148" s="4">
        <v>69895</v>
      </c>
      <c r="BP148" s="4">
        <v>-13317</v>
      </c>
      <c r="BQ148" s="4">
        <v>-28346</v>
      </c>
      <c r="BR148" s="4">
        <v>-17599</v>
      </c>
      <c r="BS148" s="4">
        <v>-5292</v>
      </c>
      <c r="BT148" s="4">
        <v>16049</v>
      </c>
      <c r="BU148" s="4">
        <v>-77060</v>
      </c>
      <c r="BV148" s="4">
        <v>-58118</v>
      </c>
      <c r="BW148" s="4">
        <v>-22183</v>
      </c>
      <c r="BX148" s="4">
        <v>48185</v>
      </c>
      <c r="BY148" s="4">
        <v>-8384</v>
      </c>
      <c r="BZ148" s="4">
        <v>16114</v>
      </c>
      <c r="CA148" s="4">
        <v>7829</v>
      </c>
      <c r="CB148" s="4">
        <v>17806</v>
      </c>
      <c r="CC148" s="4">
        <v>71771</v>
      </c>
      <c r="CD148" s="4">
        <v>45957</v>
      </c>
      <c r="CE148" s="4">
        <v>13747</v>
      </c>
      <c r="CF148" s="4">
        <v>27915</v>
      </c>
      <c r="CH148" s="94">
        <f t="shared" ref="CH148:CQ157" si="415">SUMIF($B$1:$CG$1,"&lt;="&amp;VALUE(RIGHT(CH$2,2)&amp;IF(LEFT(CH$2,2)="1S",2,IF(LEFT(CH$2,2)="9M",3,4))),$B148:$CG148)-
SUMIF($B$1:$CG$1,"&lt;"&amp;VALUE(RIGHT(CH$2,2))&amp;"0",$B148:$CG148)</f>
        <v>-74097</v>
      </c>
      <c r="CI148" s="94">
        <f t="shared" si="415"/>
        <v>-123838</v>
      </c>
      <c r="CJ148" s="94">
        <f t="shared" si="415"/>
        <v>-145830</v>
      </c>
      <c r="CK148" s="94">
        <f t="shared" si="415"/>
        <v>-92238</v>
      </c>
      <c r="CL148" s="94">
        <f t="shared" si="415"/>
        <v>-129608</v>
      </c>
      <c r="CM148" s="94">
        <f t="shared" si="415"/>
        <v>-179528</v>
      </c>
      <c r="CN148" s="94">
        <f t="shared" si="415"/>
        <v>-159409</v>
      </c>
      <c r="CO148" s="94">
        <f t="shared" si="415"/>
        <v>-248942</v>
      </c>
      <c r="CP148" s="94">
        <f t="shared" si="415"/>
        <v>-330199</v>
      </c>
      <c r="CQ148" s="94">
        <f t="shared" si="415"/>
        <v>-255616</v>
      </c>
      <c r="CR148" s="94">
        <f t="shared" ref="CR148:DA157" si="416">SUMIF($B$1:$CG$1,"&lt;="&amp;VALUE(RIGHT(CR$2,2)&amp;IF(LEFT(CR$2,2)="1S",2,IF(LEFT(CR$2,2)="9M",3,4))),$B148:$CG148)-
SUMIF($B$1:$CG$1,"&lt;"&amp;VALUE(RIGHT(CR$2,2))&amp;"0",$B148:$CG148)</f>
        <v>-395239</v>
      </c>
      <c r="CS148" s="94">
        <f t="shared" si="416"/>
        <v>-721420</v>
      </c>
      <c r="CT148" s="94">
        <f t="shared" si="416"/>
        <v>-359196</v>
      </c>
      <c r="CU148" s="94">
        <f t="shared" si="416"/>
        <v>-496761</v>
      </c>
      <c r="CV148" s="94">
        <f t="shared" si="416"/>
        <v>-478509</v>
      </c>
      <c r="CW148" s="94">
        <f t="shared" si="416"/>
        <v>-157796</v>
      </c>
      <c r="CX148" s="94">
        <f t="shared" si="416"/>
        <v>-283660</v>
      </c>
      <c r="CY148" s="94">
        <f t="shared" si="416"/>
        <v>-238781</v>
      </c>
      <c r="CZ148" s="94">
        <f t="shared" si="416"/>
        <v>-217166</v>
      </c>
      <c r="DA148" s="94">
        <f t="shared" si="416"/>
        <v>-326580</v>
      </c>
      <c r="DB148" s="94">
        <f t="shared" ref="DB148:DK157" si="417">SUMIF($B$1:$CG$1,"&lt;="&amp;VALUE(RIGHT(DB$2,2)&amp;IF(LEFT(DB$2,2)="1S",2,IF(LEFT(DB$2,2)="9M",3,4))),$B148:$CG148)-
SUMIF($B$1:$CG$1,"&lt;"&amp;VALUE(RIGHT(DB$2,2))&amp;"0",$B148:$CG148)</f>
        <v>-340963</v>
      </c>
      <c r="DC148" s="94">
        <f t="shared" si="417"/>
        <v>-179338</v>
      </c>
      <c r="DD148" s="94">
        <f t="shared" si="417"/>
        <v>-141418</v>
      </c>
      <c r="DE148" s="94">
        <f t="shared" si="417"/>
        <v>52105</v>
      </c>
      <c r="DF148" s="94">
        <f t="shared" si="417"/>
        <v>142812</v>
      </c>
      <c r="DG148" s="94">
        <f t="shared" si="417"/>
        <v>189853</v>
      </c>
      <c r="DH148" s="94">
        <f t="shared" si="417"/>
        <v>606634</v>
      </c>
      <c r="DI148" s="94">
        <f t="shared" si="417"/>
        <v>72355</v>
      </c>
      <c r="DJ148" s="94">
        <f t="shared" si="417"/>
        <v>246246</v>
      </c>
      <c r="DK148" s="94">
        <f t="shared" si="417"/>
        <v>340298</v>
      </c>
      <c r="DL148" s="94">
        <f t="shared" ref="DL148:DU157" si="418">SUMIF($B$1:$CG$1,"&lt;="&amp;VALUE(RIGHT(DL$2,2)&amp;IF(LEFT(DL$2,2)="1S",2,IF(LEFT(DL$2,2)="9M",3,4))),$B148:$CG148)-
SUMIF($B$1:$CG$1,"&lt;"&amp;VALUE(RIGHT(DL$2,2))&amp;"0",$B148:$CG148)</f>
        <v>181223</v>
      </c>
      <c r="DM148" s="94">
        <f t="shared" si="418"/>
        <v>312304</v>
      </c>
      <c r="DN148" s="94">
        <f t="shared" si="418"/>
        <v>353110</v>
      </c>
      <c r="DO148" s="94">
        <f t="shared" si="418"/>
        <v>101062</v>
      </c>
      <c r="DP148" s="94">
        <f t="shared" si="418"/>
        <v>199630</v>
      </c>
      <c r="DQ148" s="94">
        <f t="shared" si="418"/>
        <v>211529</v>
      </c>
      <c r="DR148" s="94">
        <f t="shared" si="418"/>
        <v>47889</v>
      </c>
      <c r="DS148" s="94">
        <f t="shared" si="418"/>
        <v>55104</v>
      </c>
      <c r="DT148" s="94">
        <f t="shared" si="418"/>
        <v>37886</v>
      </c>
      <c r="DU148" s="94">
        <f t="shared" si="418"/>
        <v>-22006</v>
      </c>
      <c r="DV148" s="94">
        <f t="shared" ref="DV148:EE157" si="419">SUMIF($B$1:$CG$1,"&lt;="&amp;VALUE(RIGHT(DV$2,2)&amp;IF(LEFT(DV$2,2)="1S",2,IF(LEFT(DV$2,2)="9M",3,4))),$B148:$CG148)-
SUMIF($B$1:$CG$1,"&lt;"&amp;VALUE(RIGHT(DV$2,2))&amp;"0",$B148:$CG148)</f>
        <v>-42539</v>
      </c>
      <c r="DW148" s="94">
        <f t="shared" si="419"/>
        <v>-50782</v>
      </c>
      <c r="DX148" s="94">
        <f t="shared" si="419"/>
        <v>61247</v>
      </c>
      <c r="DY148" s="94">
        <f t="shared" si="419"/>
        <v>131142</v>
      </c>
      <c r="DZ148" s="94">
        <f t="shared" si="419"/>
        <v>117825</v>
      </c>
      <c r="EA148" s="94">
        <f t="shared" si="419"/>
        <v>-45945</v>
      </c>
      <c r="EB148" s="94">
        <f t="shared" si="419"/>
        <v>-51237</v>
      </c>
      <c r="EC148" s="94">
        <f t="shared" si="419"/>
        <v>-35188</v>
      </c>
      <c r="ED148" s="94">
        <f t="shared" si="419"/>
        <v>-135178</v>
      </c>
      <c r="EE148" s="94">
        <f t="shared" si="419"/>
        <v>-157361</v>
      </c>
      <c r="EF148" s="94">
        <f t="shared" ref="EF148:EL157" si="420">SUMIF($B$1:$CG$1,"&lt;="&amp;VALUE(RIGHT(EF$2,2)&amp;IF(LEFT(EF$2,2)="1S",2,IF(LEFT(EF$2,2)="9M",3,4))),$B148:$CG148)-
SUMIF($B$1:$CG$1,"&lt;"&amp;VALUE(RIGHT(EF$2,2))&amp;"0",$B148:$CG148)</f>
        <v>-109176</v>
      </c>
      <c r="EG148" s="94">
        <f t="shared" si="420"/>
        <v>7730</v>
      </c>
      <c r="EH148" s="94">
        <f t="shared" si="420"/>
        <v>15559</v>
      </c>
      <c r="EI148" s="94">
        <f t="shared" si="420"/>
        <v>33365</v>
      </c>
      <c r="EJ148" s="94">
        <f t="shared" si="420"/>
        <v>117728</v>
      </c>
      <c r="EK148" s="94">
        <f t="shared" si="420"/>
        <v>131475</v>
      </c>
      <c r="EL148" s="94">
        <f t="shared" si="420"/>
        <v>159390</v>
      </c>
    </row>
    <row r="149" spans="2:142" x14ac:dyDescent="0.3">
      <c r="B149" s="129" t="s">
        <v>596</v>
      </c>
      <c r="C149" s="129" t="s">
        <v>470</v>
      </c>
      <c r="D149" s="183" t="str">
        <f>IF(Menu!$D$12="PT",'Dados Financeiros'!B149,'Dados Financeiros'!C149)</f>
        <v>Créditos diversos - FCX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2679</v>
      </c>
      <c r="N149" s="4">
        <v>-5699</v>
      </c>
      <c r="O149" s="4">
        <v>-2370</v>
      </c>
      <c r="P149" s="4">
        <v>-9659</v>
      </c>
      <c r="Q149" s="4">
        <v>-9712</v>
      </c>
      <c r="R149" s="4">
        <v>-11578</v>
      </c>
      <c r="S149" s="4">
        <v>6643</v>
      </c>
      <c r="T149" s="4">
        <v>-5232</v>
      </c>
      <c r="U149" s="4">
        <v>-10255</v>
      </c>
      <c r="V149" s="4">
        <v>-21220</v>
      </c>
      <c r="W149" s="4">
        <v>17570</v>
      </c>
      <c r="X149" s="4">
        <v>11834</v>
      </c>
      <c r="Y149" s="4">
        <v>-37716</v>
      </c>
      <c r="Z149" s="4">
        <v>-37580</v>
      </c>
      <c r="AA149" s="4">
        <v>-11833</v>
      </c>
      <c r="AB149" s="4">
        <v>-7090</v>
      </c>
      <c r="AC149" s="4">
        <v>9332</v>
      </c>
      <c r="AD149" s="4">
        <v>11766</v>
      </c>
      <c r="AE149" s="4">
        <v>24332</v>
      </c>
      <c r="AF149" s="4">
        <v>559</v>
      </c>
      <c r="AG149" s="4">
        <v>-39380</v>
      </c>
      <c r="AH149" s="4">
        <v>-5371</v>
      </c>
      <c r="AI149" s="4">
        <v>-3876</v>
      </c>
      <c r="AJ149" s="4">
        <v>35673</v>
      </c>
      <c r="AK149" s="4">
        <v>-27336</v>
      </c>
      <c r="AL149" s="4">
        <v>28767</v>
      </c>
      <c r="AM149" s="4">
        <v>-24093</v>
      </c>
      <c r="AN149" s="4">
        <v>26085</v>
      </c>
      <c r="AO149" s="4">
        <v>-23386</v>
      </c>
      <c r="AP149" s="4">
        <v>15472</v>
      </c>
      <c r="AQ149" s="4">
        <v>-2197</v>
      </c>
      <c r="AR149" s="4">
        <v>-21351</v>
      </c>
      <c r="AS149" s="4">
        <v>27458</v>
      </c>
      <c r="AT149" s="4">
        <v>1347</v>
      </c>
      <c r="AU149" s="4">
        <v>-12326</v>
      </c>
      <c r="AV149" s="4">
        <v>18411</v>
      </c>
      <c r="AW149" s="4">
        <v>-20831</v>
      </c>
      <c r="AX149" s="4">
        <v>9730</v>
      </c>
      <c r="AY149" s="4">
        <v>-325</v>
      </c>
      <c r="AZ149" s="4">
        <v>27050</v>
      </c>
      <c r="BA149" s="94">
        <v>-22559</v>
      </c>
      <c r="BB149" s="4">
        <v>-8990</v>
      </c>
      <c r="BC149" s="4">
        <v>18408</v>
      </c>
      <c r="BD149" s="4">
        <v>-1992</v>
      </c>
      <c r="BE149" s="4">
        <v>2677</v>
      </c>
      <c r="BF149" s="4">
        <v>13808</v>
      </c>
      <c r="BG149" s="4">
        <v>-1044</v>
      </c>
      <c r="BH149" s="4">
        <v>-367</v>
      </c>
      <c r="BI149" s="4">
        <v>548</v>
      </c>
      <c r="BJ149" s="4">
        <v>7294</v>
      </c>
      <c r="BK149" s="4">
        <v>-11345</v>
      </c>
      <c r="BL149" s="4">
        <v>6342</v>
      </c>
      <c r="BM149" s="4">
        <v>-6046</v>
      </c>
      <c r="BN149" s="4">
        <v>3889</v>
      </c>
      <c r="BO149" s="4">
        <v>-4090</v>
      </c>
      <c r="BP149" s="4">
        <v>10060</v>
      </c>
      <c r="BQ149" s="4">
        <v>5936</v>
      </c>
      <c r="BR149" s="4">
        <v>-311</v>
      </c>
      <c r="BS149" s="4">
        <v>-15119</v>
      </c>
      <c r="BT149" s="4">
        <v>4756</v>
      </c>
      <c r="BU149" s="4">
        <v>-4266</v>
      </c>
      <c r="BV149" s="4">
        <v>-1544</v>
      </c>
      <c r="BW149" s="4">
        <v>13646</v>
      </c>
      <c r="BX149" s="4">
        <v>-3367</v>
      </c>
      <c r="BY149" s="4">
        <v>-10119</v>
      </c>
      <c r="BZ149" s="4">
        <v>2917</v>
      </c>
      <c r="CA149" s="4">
        <v>-3059</v>
      </c>
      <c r="CB149" s="4">
        <v>2277</v>
      </c>
      <c r="CC149" s="4">
        <v>-518</v>
      </c>
      <c r="CD149" s="4">
        <v>-3172</v>
      </c>
      <c r="CE149" s="4">
        <v>137</v>
      </c>
      <c r="CF149" s="4">
        <v>6823</v>
      </c>
      <c r="CH149" s="94">
        <f t="shared" si="415"/>
        <v>0</v>
      </c>
      <c r="CI149" s="94">
        <f t="shared" si="415"/>
        <v>0</v>
      </c>
      <c r="CJ149" s="94">
        <f t="shared" si="415"/>
        <v>0</v>
      </c>
      <c r="CK149" s="94">
        <f t="shared" si="415"/>
        <v>0</v>
      </c>
      <c r="CL149" s="94">
        <f t="shared" si="415"/>
        <v>0</v>
      </c>
      <c r="CM149" s="94">
        <f t="shared" si="415"/>
        <v>0</v>
      </c>
      <c r="CN149" s="94">
        <f t="shared" si="415"/>
        <v>-3020</v>
      </c>
      <c r="CO149" s="94">
        <f t="shared" si="415"/>
        <v>-5390</v>
      </c>
      <c r="CP149" s="94">
        <f t="shared" si="415"/>
        <v>-15049</v>
      </c>
      <c r="CQ149" s="94">
        <f t="shared" si="415"/>
        <v>-21290</v>
      </c>
      <c r="CR149" s="94">
        <f t="shared" si="416"/>
        <v>-14647</v>
      </c>
      <c r="CS149" s="94">
        <f t="shared" si="416"/>
        <v>-19879</v>
      </c>
      <c r="CT149" s="94">
        <f t="shared" si="416"/>
        <v>-31475</v>
      </c>
      <c r="CU149" s="94">
        <f t="shared" si="416"/>
        <v>-13905</v>
      </c>
      <c r="CV149" s="94">
        <f t="shared" si="416"/>
        <v>-2071</v>
      </c>
      <c r="CW149" s="94">
        <f t="shared" si="416"/>
        <v>-44670</v>
      </c>
      <c r="CX149" s="94">
        <f t="shared" si="416"/>
        <v>-32904</v>
      </c>
      <c r="CY149" s="94">
        <f t="shared" si="416"/>
        <v>-32345</v>
      </c>
      <c r="CZ149" s="94">
        <f t="shared" si="416"/>
        <v>-44751</v>
      </c>
      <c r="DA149" s="94">
        <f t="shared" si="416"/>
        <v>-48627</v>
      </c>
      <c r="DB149" s="94">
        <f t="shared" si="417"/>
        <v>-12954</v>
      </c>
      <c r="DC149" s="94">
        <f t="shared" si="417"/>
        <v>1431</v>
      </c>
      <c r="DD149" s="94">
        <f t="shared" si="417"/>
        <v>-22662</v>
      </c>
      <c r="DE149" s="94">
        <f t="shared" si="417"/>
        <v>3423</v>
      </c>
      <c r="DF149" s="94">
        <f t="shared" si="417"/>
        <v>-7914</v>
      </c>
      <c r="DG149" s="94">
        <f t="shared" si="417"/>
        <v>-10111</v>
      </c>
      <c r="DH149" s="94">
        <f t="shared" si="417"/>
        <v>-31462</v>
      </c>
      <c r="DI149" s="94">
        <f t="shared" si="417"/>
        <v>28805</v>
      </c>
      <c r="DJ149" s="94">
        <f t="shared" si="417"/>
        <v>16479</v>
      </c>
      <c r="DK149" s="94">
        <f t="shared" si="417"/>
        <v>34890</v>
      </c>
      <c r="DL149" s="94">
        <f t="shared" si="418"/>
        <v>-11101</v>
      </c>
      <c r="DM149" s="94">
        <f t="shared" si="418"/>
        <v>-11426</v>
      </c>
      <c r="DN149" s="94">
        <f t="shared" si="418"/>
        <v>15624</v>
      </c>
      <c r="DO149" s="94">
        <f t="shared" si="418"/>
        <v>-31549</v>
      </c>
      <c r="DP149" s="94">
        <f t="shared" si="418"/>
        <v>-13141</v>
      </c>
      <c r="DQ149" s="94">
        <f t="shared" si="418"/>
        <v>-15133</v>
      </c>
      <c r="DR149" s="94">
        <f t="shared" si="418"/>
        <v>16485</v>
      </c>
      <c r="DS149" s="94">
        <f t="shared" si="418"/>
        <v>15441</v>
      </c>
      <c r="DT149" s="94">
        <f t="shared" si="418"/>
        <v>15074</v>
      </c>
      <c r="DU149" s="94">
        <f t="shared" si="418"/>
        <v>7842</v>
      </c>
      <c r="DV149" s="94">
        <f t="shared" si="419"/>
        <v>-3503</v>
      </c>
      <c r="DW149" s="94">
        <f t="shared" si="419"/>
        <v>2839</v>
      </c>
      <c r="DX149" s="94">
        <f t="shared" si="419"/>
        <v>-2157</v>
      </c>
      <c r="DY149" s="94">
        <f t="shared" si="419"/>
        <v>-6247</v>
      </c>
      <c r="DZ149" s="94">
        <f t="shared" si="419"/>
        <v>3813</v>
      </c>
      <c r="EA149" s="94">
        <f t="shared" si="419"/>
        <v>5625</v>
      </c>
      <c r="EB149" s="94">
        <f t="shared" si="419"/>
        <v>-9494</v>
      </c>
      <c r="EC149" s="94">
        <f t="shared" si="419"/>
        <v>-4738</v>
      </c>
      <c r="ED149" s="94">
        <f t="shared" si="419"/>
        <v>-5810</v>
      </c>
      <c r="EE149" s="94">
        <f t="shared" si="419"/>
        <v>7836</v>
      </c>
      <c r="EF149" s="94">
        <f t="shared" si="420"/>
        <v>4469</v>
      </c>
      <c r="EG149" s="94">
        <f t="shared" si="420"/>
        <v>-7202</v>
      </c>
      <c r="EH149" s="94">
        <f t="shared" si="420"/>
        <v>-10261</v>
      </c>
      <c r="EI149" s="94">
        <f t="shared" si="420"/>
        <v>-7984</v>
      </c>
      <c r="EJ149" s="94">
        <f t="shared" si="420"/>
        <v>-3690</v>
      </c>
      <c r="EK149" s="94">
        <f t="shared" si="420"/>
        <v>-3553</v>
      </c>
      <c r="EL149" s="94">
        <f t="shared" si="420"/>
        <v>3270</v>
      </c>
    </row>
    <row r="150" spans="2:142" x14ac:dyDescent="0.3">
      <c r="B150" s="129" t="s">
        <v>597</v>
      </c>
      <c r="C150" s="129" t="s">
        <v>471</v>
      </c>
      <c r="D150" s="183" t="str">
        <f>IF(Menu!$D$12="PT",'Dados Financeiros'!B150,'Dados Financeiros'!C150)</f>
        <v>Imóveis a comercializar - FCX</v>
      </c>
      <c r="E150" s="4">
        <v>-149620</v>
      </c>
      <c r="F150" s="4">
        <v>-45355</v>
      </c>
      <c r="G150" s="4">
        <v>-38959</v>
      </c>
      <c r="H150" s="4">
        <v>-87378</v>
      </c>
      <c r="I150" s="4">
        <v>-19665</v>
      </c>
      <c r="J150" s="4">
        <v>-13482</v>
      </c>
      <c r="K150" s="4">
        <v>-4605</v>
      </c>
      <c r="L150" s="4">
        <v>-68094</v>
      </c>
      <c r="M150" s="4">
        <v>-4440</v>
      </c>
      <c r="N150" s="4">
        <v>43613</v>
      </c>
      <c r="O150" s="4">
        <v>-23250</v>
      </c>
      <c r="P150" s="4">
        <v>-43388</v>
      </c>
      <c r="Q150" s="4">
        <v>-31436</v>
      </c>
      <c r="R150" s="4">
        <v>-78529</v>
      </c>
      <c r="S150" s="4">
        <v>-249511</v>
      </c>
      <c r="T150" s="4">
        <v>53731</v>
      </c>
      <c r="U150" s="4">
        <v>-38062</v>
      </c>
      <c r="V150" s="4">
        <v>60737</v>
      </c>
      <c r="W150" s="4">
        <v>-47606</v>
      </c>
      <c r="X150" s="4">
        <v>-135635</v>
      </c>
      <c r="Y150" s="4">
        <v>6788</v>
      </c>
      <c r="Z150" s="4">
        <v>9299</v>
      </c>
      <c r="AA150" s="4">
        <v>68</v>
      </c>
      <c r="AB150" s="4">
        <v>-18222</v>
      </c>
      <c r="AC150" s="4">
        <v>-14313</v>
      </c>
      <c r="AD150" s="4">
        <v>-33513</v>
      </c>
      <c r="AE150" s="4">
        <v>-151464</v>
      </c>
      <c r="AF150" s="4">
        <v>-141482</v>
      </c>
      <c r="AG150" s="4">
        <v>-22206</v>
      </c>
      <c r="AH150" s="4">
        <v>9312</v>
      </c>
      <c r="AI150" s="4">
        <v>-134473</v>
      </c>
      <c r="AJ150" s="4">
        <v>3398</v>
      </c>
      <c r="AK150" s="4">
        <v>-96692</v>
      </c>
      <c r="AL150" s="4">
        <v>10604</v>
      </c>
      <c r="AM150" s="4">
        <v>-54441</v>
      </c>
      <c r="AN150" s="4">
        <v>-69556</v>
      </c>
      <c r="AO150" s="4">
        <v>15297</v>
      </c>
      <c r="AP150" s="4">
        <v>-28913</v>
      </c>
      <c r="AQ150" s="4">
        <v>-4497</v>
      </c>
      <c r="AR150" s="4">
        <v>-50787</v>
      </c>
      <c r="AS150" s="4">
        <v>-5777</v>
      </c>
      <c r="AT150" s="4">
        <v>-19521</v>
      </c>
      <c r="AU150" s="4">
        <v>-75874</v>
      </c>
      <c r="AV150" s="4">
        <v>134824</v>
      </c>
      <c r="AW150" s="4">
        <v>51643</v>
      </c>
      <c r="AX150" s="4">
        <v>114591</v>
      </c>
      <c r="AY150" s="4">
        <v>-18253</v>
      </c>
      <c r="AZ150" s="4">
        <v>51689</v>
      </c>
      <c r="BA150" s="94">
        <v>23253</v>
      </c>
      <c r="BB150" s="4">
        <v>43828</v>
      </c>
      <c r="BC150" s="4">
        <v>-14449</v>
      </c>
      <c r="BD150" s="4">
        <v>59526</v>
      </c>
      <c r="BE150" s="4">
        <v>42915</v>
      </c>
      <c r="BF150" s="4">
        <v>20844</v>
      </c>
      <c r="BG150" s="4">
        <v>40317</v>
      </c>
      <c r="BH150" s="4">
        <v>60425</v>
      </c>
      <c r="BI150" s="4">
        <v>598</v>
      </c>
      <c r="BJ150" s="4">
        <v>18474</v>
      </c>
      <c r="BK150" s="4">
        <v>-8752</v>
      </c>
      <c r="BL150" s="4">
        <v>-118416</v>
      </c>
      <c r="BM150" s="4">
        <v>-39783</v>
      </c>
      <c r="BN150" s="4">
        <v>-12070</v>
      </c>
      <c r="BO150" s="4">
        <v>-17931</v>
      </c>
      <c r="BP150" s="4">
        <v>-2917</v>
      </c>
      <c r="BQ150" s="4">
        <v>17019</v>
      </c>
      <c r="BR150" s="4">
        <v>-3503</v>
      </c>
      <c r="BS150" s="4">
        <v>-366</v>
      </c>
      <c r="BT150" s="4">
        <v>-7236</v>
      </c>
      <c r="BU150" s="4">
        <v>28760</v>
      </c>
      <c r="BV150" s="4">
        <v>-1580</v>
      </c>
      <c r="BW150" s="4">
        <v>9664</v>
      </c>
      <c r="BX150" s="4">
        <v>29304</v>
      </c>
      <c r="BY150" s="4">
        <v>24898</v>
      </c>
      <c r="BZ150" s="4">
        <v>150546</v>
      </c>
      <c r="CA150" s="4">
        <v>9676</v>
      </c>
      <c r="CB150" s="4">
        <v>60803</v>
      </c>
      <c r="CC150" s="4">
        <v>6458</v>
      </c>
      <c r="CD150" s="4">
        <v>5616</v>
      </c>
      <c r="CE150" s="4">
        <v>19176</v>
      </c>
      <c r="CF150" s="4">
        <v>20139</v>
      </c>
      <c r="CH150" s="94">
        <f t="shared" si="415"/>
        <v>-194975</v>
      </c>
      <c r="CI150" s="94">
        <f t="shared" si="415"/>
        <v>-233934</v>
      </c>
      <c r="CJ150" s="94">
        <f t="shared" si="415"/>
        <v>-321312</v>
      </c>
      <c r="CK150" s="94">
        <f t="shared" si="415"/>
        <v>-33147</v>
      </c>
      <c r="CL150" s="94">
        <f t="shared" si="415"/>
        <v>-37752</v>
      </c>
      <c r="CM150" s="94">
        <f t="shared" si="415"/>
        <v>-105846</v>
      </c>
      <c r="CN150" s="94">
        <f t="shared" si="415"/>
        <v>39173</v>
      </c>
      <c r="CO150" s="94">
        <f t="shared" si="415"/>
        <v>15923</v>
      </c>
      <c r="CP150" s="94">
        <f t="shared" si="415"/>
        <v>-27465</v>
      </c>
      <c r="CQ150" s="94">
        <f t="shared" si="415"/>
        <v>-109965</v>
      </c>
      <c r="CR150" s="94">
        <f t="shared" si="416"/>
        <v>-359476</v>
      </c>
      <c r="CS150" s="94">
        <f t="shared" si="416"/>
        <v>-305745</v>
      </c>
      <c r="CT150" s="94">
        <f t="shared" si="416"/>
        <v>22675</v>
      </c>
      <c r="CU150" s="94">
        <f t="shared" si="416"/>
        <v>-24931</v>
      </c>
      <c r="CV150" s="94">
        <f t="shared" si="416"/>
        <v>-160566</v>
      </c>
      <c r="CW150" s="94">
        <f t="shared" si="416"/>
        <v>-8923</v>
      </c>
      <c r="CX150" s="94">
        <f t="shared" si="416"/>
        <v>-42436</v>
      </c>
      <c r="CY150" s="94">
        <f t="shared" si="416"/>
        <v>-183918</v>
      </c>
      <c r="CZ150" s="94">
        <f t="shared" si="416"/>
        <v>-12894</v>
      </c>
      <c r="DA150" s="94">
        <f t="shared" si="416"/>
        <v>-147367</v>
      </c>
      <c r="DB150" s="94">
        <f t="shared" si="417"/>
        <v>-143969</v>
      </c>
      <c r="DC150" s="94">
        <f t="shared" si="417"/>
        <v>-86088</v>
      </c>
      <c r="DD150" s="94">
        <f t="shared" si="417"/>
        <v>-140529</v>
      </c>
      <c r="DE150" s="94">
        <f t="shared" si="417"/>
        <v>-210085</v>
      </c>
      <c r="DF150" s="94">
        <f t="shared" si="417"/>
        <v>-13616</v>
      </c>
      <c r="DG150" s="94">
        <f t="shared" si="417"/>
        <v>-18113</v>
      </c>
      <c r="DH150" s="94">
        <f t="shared" si="417"/>
        <v>-68900</v>
      </c>
      <c r="DI150" s="94">
        <f t="shared" si="417"/>
        <v>-25298</v>
      </c>
      <c r="DJ150" s="94">
        <f t="shared" si="417"/>
        <v>-101172</v>
      </c>
      <c r="DK150" s="94">
        <f t="shared" si="417"/>
        <v>33652</v>
      </c>
      <c r="DL150" s="94">
        <f t="shared" si="418"/>
        <v>166234</v>
      </c>
      <c r="DM150" s="94">
        <f t="shared" si="418"/>
        <v>147981</v>
      </c>
      <c r="DN150" s="94">
        <f t="shared" si="418"/>
        <v>199670</v>
      </c>
      <c r="DO150" s="94">
        <f t="shared" si="418"/>
        <v>67081</v>
      </c>
      <c r="DP150" s="94">
        <f t="shared" si="418"/>
        <v>52632</v>
      </c>
      <c r="DQ150" s="94">
        <f t="shared" si="418"/>
        <v>112158</v>
      </c>
      <c r="DR150" s="94">
        <f t="shared" si="418"/>
        <v>63759</v>
      </c>
      <c r="DS150" s="94">
        <f t="shared" si="418"/>
        <v>104076</v>
      </c>
      <c r="DT150" s="94">
        <f t="shared" si="418"/>
        <v>164501</v>
      </c>
      <c r="DU150" s="94">
        <f t="shared" si="418"/>
        <v>19072</v>
      </c>
      <c r="DV150" s="94">
        <f t="shared" si="419"/>
        <v>10320</v>
      </c>
      <c r="DW150" s="94">
        <f t="shared" si="419"/>
        <v>-108096</v>
      </c>
      <c r="DX150" s="94">
        <f t="shared" si="419"/>
        <v>-51853</v>
      </c>
      <c r="DY150" s="94">
        <f t="shared" si="419"/>
        <v>-69784</v>
      </c>
      <c r="DZ150" s="94">
        <f t="shared" si="419"/>
        <v>-72701</v>
      </c>
      <c r="EA150" s="94">
        <f t="shared" si="419"/>
        <v>13516</v>
      </c>
      <c r="EB150" s="94">
        <f t="shared" si="419"/>
        <v>13150</v>
      </c>
      <c r="EC150" s="94">
        <f t="shared" si="419"/>
        <v>5914</v>
      </c>
      <c r="ED150" s="94">
        <f t="shared" si="419"/>
        <v>27180</v>
      </c>
      <c r="EE150" s="94">
        <f t="shared" si="419"/>
        <v>36844</v>
      </c>
      <c r="EF150" s="94">
        <f t="shared" si="420"/>
        <v>66148</v>
      </c>
      <c r="EG150" s="94">
        <f t="shared" si="420"/>
        <v>175444</v>
      </c>
      <c r="EH150" s="94">
        <f t="shared" si="420"/>
        <v>185120</v>
      </c>
      <c r="EI150" s="94">
        <f t="shared" si="420"/>
        <v>245923</v>
      </c>
      <c r="EJ150" s="94">
        <f t="shared" si="420"/>
        <v>12074</v>
      </c>
      <c r="EK150" s="94">
        <f t="shared" si="420"/>
        <v>31250</v>
      </c>
      <c r="EL150" s="94">
        <f t="shared" si="420"/>
        <v>51389</v>
      </c>
    </row>
    <row r="151" spans="2:142" x14ac:dyDescent="0.3">
      <c r="B151" s="129" t="s">
        <v>598</v>
      </c>
      <c r="C151" s="129" t="s">
        <v>472</v>
      </c>
      <c r="D151" s="183" t="str">
        <f>IF(Menu!$D$12="PT",'Dados Financeiros'!B151,'Dados Financeiros'!C151)</f>
        <v>Despesas pagas antecipadamente - FCX</v>
      </c>
      <c r="E151" s="4">
        <v>179</v>
      </c>
      <c r="F151" s="4">
        <v>-4713</v>
      </c>
      <c r="G151" s="4">
        <v>-1875</v>
      </c>
      <c r="H151" s="4">
        <v>-9230</v>
      </c>
      <c r="I151" s="4">
        <v>32041</v>
      </c>
      <c r="J151" s="4">
        <v>281</v>
      </c>
      <c r="K151" s="4">
        <v>3</v>
      </c>
      <c r="L151" s="4">
        <v>369</v>
      </c>
      <c r="M151" s="4">
        <v>-1404</v>
      </c>
      <c r="N151" s="4">
        <v>-1372</v>
      </c>
      <c r="O151" s="4">
        <v>-1223</v>
      </c>
      <c r="P151" s="4">
        <v>598</v>
      </c>
      <c r="Q151" s="4">
        <v>61</v>
      </c>
      <c r="R151" s="4">
        <v>-471</v>
      </c>
      <c r="S151" s="4">
        <v>-54</v>
      </c>
      <c r="T151" s="4">
        <v>1211</v>
      </c>
      <c r="U151" s="4">
        <v>-329</v>
      </c>
      <c r="V151" s="4">
        <v>-1531</v>
      </c>
      <c r="W151" s="4">
        <v>-540</v>
      </c>
      <c r="X151" s="4">
        <v>-563</v>
      </c>
      <c r="Y151" s="4">
        <v>-1058</v>
      </c>
      <c r="Z151" s="4">
        <v>6</v>
      </c>
      <c r="AA151" s="4">
        <v>1354</v>
      </c>
      <c r="AB151" s="4">
        <v>888</v>
      </c>
      <c r="AC151" s="4">
        <v>-386</v>
      </c>
      <c r="AD151" s="4">
        <v>-390</v>
      </c>
      <c r="AE151" s="4">
        <v>257</v>
      </c>
      <c r="AF151" s="4">
        <v>99</v>
      </c>
      <c r="AG151" s="4">
        <v>622</v>
      </c>
      <c r="AH151" s="4">
        <v>-3756</v>
      </c>
      <c r="AI151" s="4">
        <v>952</v>
      </c>
      <c r="AJ151" s="4">
        <v>308</v>
      </c>
      <c r="AK151" s="4">
        <v>-368</v>
      </c>
      <c r="AL151" s="4">
        <v>442</v>
      </c>
      <c r="AM151" s="4">
        <v>1610</v>
      </c>
      <c r="AN151" s="4">
        <v>1778</v>
      </c>
      <c r="AO151" s="4">
        <v>-405</v>
      </c>
      <c r="AP151" s="4">
        <v>836</v>
      </c>
      <c r="AQ151" s="4">
        <v>1847</v>
      </c>
      <c r="AR151" s="4">
        <v>-1566</v>
      </c>
      <c r="AS151" s="4">
        <v>-939</v>
      </c>
      <c r="AT151" s="4">
        <v>634</v>
      </c>
      <c r="AU151" s="4">
        <v>904</v>
      </c>
      <c r="AV151" s="4">
        <v>256</v>
      </c>
      <c r="AW151" s="4">
        <v>-3726</v>
      </c>
      <c r="AX151" s="4">
        <v>-1181</v>
      </c>
      <c r="AY151" s="4">
        <v>-50</v>
      </c>
      <c r="AZ151" s="4">
        <v>107</v>
      </c>
      <c r="BA151" s="94">
        <v>964</v>
      </c>
      <c r="BB151" s="4">
        <v>530</v>
      </c>
      <c r="BC151" s="4">
        <v>657</v>
      </c>
      <c r="BD151" s="4">
        <v>-233</v>
      </c>
      <c r="BE151" s="4">
        <v>793</v>
      </c>
      <c r="BF151" s="4">
        <v>-1324</v>
      </c>
      <c r="BG151" s="4">
        <v>2582</v>
      </c>
      <c r="BH151" s="4">
        <v>701</v>
      </c>
      <c r="BI151" s="4">
        <v>-454</v>
      </c>
      <c r="BJ151" s="4">
        <v>215</v>
      </c>
      <c r="BK151" s="4">
        <v>140</v>
      </c>
      <c r="BL151" s="4">
        <v>51</v>
      </c>
      <c r="BM151" s="4">
        <v>-1132</v>
      </c>
      <c r="BN151" s="4">
        <v>278</v>
      </c>
      <c r="BO151" s="4">
        <v>-147</v>
      </c>
      <c r="BP151" s="4">
        <v>289</v>
      </c>
      <c r="BQ151" s="4">
        <v>-1589</v>
      </c>
      <c r="BR151" s="4">
        <v>289</v>
      </c>
      <c r="BS151" s="4">
        <v>275</v>
      </c>
      <c r="BT151" s="4">
        <v>9</v>
      </c>
      <c r="BU151" s="4">
        <v>-1822</v>
      </c>
      <c r="BV151" s="4">
        <v>522</v>
      </c>
      <c r="BW151" s="4">
        <v>505</v>
      </c>
      <c r="BX151" s="4">
        <v>464</v>
      </c>
      <c r="BY151" s="4">
        <v>-1379</v>
      </c>
      <c r="BZ151" s="4">
        <v>650</v>
      </c>
      <c r="CA151" s="4">
        <v>324</v>
      </c>
      <c r="CB151" s="4">
        <v>939</v>
      </c>
      <c r="CC151" s="4">
        <v>-2079</v>
      </c>
      <c r="CD151" s="4">
        <v>634</v>
      </c>
      <c r="CE151" s="4">
        <v>1269</v>
      </c>
      <c r="CF151" s="4">
        <v>797</v>
      </c>
      <c r="CH151" s="94">
        <f t="shared" si="415"/>
        <v>-4534</v>
      </c>
      <c r="CI151" s="94">
        <f t="shared" si="415"/>
        <v>-6409</v>
      </c>
      <c r="CJ151" s="94">
        <f t="shared" si="415"/>
        <v>-15639</v>
      </c>
      <c r="CK151" s="94">
        <f t="shared" si="415"/>
        <v>32322</v>
      </c>
      <c r="CL151" s="94">
        <f t="shared" si="415"/>
        <v>32325</v>
      </c>
      <c r="CM151" s="94">
        <f t="shared" si="415"/>
        <v>32694</v>
      </c>
      <c r="CN151" s="94">
        <f t="shared" si="415"/>
        <v>-2776</v>
      </c>
      <c r="CO151" s="94">
        <f t="shared" si="415"/>
        <v>-3999</v>
      </c>
      <c r="CP151" s="94">
        <f t="shared" si="415"/>
        <v>-3401</v>
      </c>
      <c r="CQ151" s="94">
        <f t="shared" si="415"/>
        <v>-410</v>
      </c>
      <c r="CR151" s="94">
        <f t="shared" si="416"/>
        <v>-464</v>
      </c>
      <c r="CS151" s="94">
        <f t="shared" si="416"/>
        <v>747</v>
      </c>
      <c r="CT151" s="94">
        <f t="shared" si="416"/>
        <v>-1860</v>
      </c>
      <c r="CU151" s="94">
        <f t="shared" si="416"/>
        <v>-2400</v>
      </c>
      <c r="CV151" s="94">
        <f t="shared" si="416"/>
        <v>-2963</v>
      </c>
      <c r="CW151" s="94">
        <f t="shared" si="416"/>
        <v>894</v>
      </c>
      <c r="CX151" s="94">
        <f t="shared" si="416"/>
        <v>504</v>
      </c>
      <c r="CY151" s="94">
        <f t="shared" si="416"/>
        <v>603</v>
      </c>
      <c r="CZ151" s="94">
        <f t="shared" si="416"/>
        <v>-3134</v>
      </c>
      <c r="DA151" s="94">
        <f t="shared" si="416"/>
        <v>-2182</v>
      </c>
      <c r="DB151" s="94">
        <f t="shared" si="417"/>
        <v>-1874</v>
      </c>
      <c r="DC151" s="94">
        <f t="shared" si="417"/>
        <v>74</v>
      </c>
      <c r="DD151" s="94">
        <f t="shared" si="417"/>
        <v>1684</v>
      </c>
      <c r="DE151" s="94">
        <f t="shared" si="417"/>
        <v>3462</v>
      </c>
      <c r="DF151" s="94">
        <f t="shared" si="417"/>
        <v>431</v>
      </c>
      <c r="DG151" s="94">
        <f t="shared" si="417"/>
        <v>2278</v>
      </c>
      <c r="DH151" s="94">
        <f t="shared" si="417"/>
        <v>712</v>
      </c>
      <c r="DI151" s="94">
        <f t="shared" si="417"/>
        <v>-305</v>
      </c>
      <c r="DJ151" s="94">
        <f t="shared" si="417"/>
        <v>599</v>
      </c>
      <c r="DK151" s="94">
        <f t="shared" si="417"/>
        <v>855</v>
      </c>
      <c r="DL151" s="94">
        <f t="shared" si="418"/>
        <v>-4907</v>
      </c>
      <c r="DM151" s="94">
        <f t="shared" si="418"/>
        <v>-4957</v>
      </c>
      <c r="DN151" s="94">
        <f t="shared" si="418"/>
        <v>-4850</v>
      </c>
      <c r="DO151" s="94">
        <f t="shared" si="418"/>
        <v>1494</v>
      </c>
      <c r="DP151" s="94">
        <f t="shared" si="418"/>
        <v>2151</v>
      </c>
      <c r="DQ151" s="94">
        <f t="shared" si="418"/>
        <v>1918</v>
      </c>
      <c r="DR151" s="94">
        <f t="shared" si="418"/>
        <v>-531</v>
      </c>
      <c r="DS151" s="94">
        <f t="shared" si="418"/>
        <v>2051</v>
      </c>
      <c r="DT151" s="94">
        <f t="shared" si="418"/>
        <v>2752</v>
      </c>
      <c r="DU151" s="94">
        <f t="shared" si="418"/>
        <v>-239</v>
      </c>
      <c r="DV151" s="94">
        <f t="shared" si="419"/>
        <v>-99</v>
      </c>
      <c r="DW151" s="94">
        <f t="shared" si="419"/>
        <v>-48</v>
      </c>
      <c r="DX151" s="94">
        <f t="shared" si="419"/>
        <v>-854</v>
      </c>
      <c r="DY151" s="94">
        <f t="shared" si="419"/>
        <v>-1001</v>
      </c>
      <c r="DZ151" s="94">
        <f t="shared" si="419"/>
        <v>-712</v>
      </c>
      <c r="EA151" s="94">
        <f t="shared" si="419"/>
        <v>-1300</v>
      </c>
      <c r="EB151" s="94">
        <f t="shared" si="419"/>
        <v>-1025</v>
      </c>
      <c r="EC151" s="94">
        <f t="shared" si="419"/>
        <v>-1016</v>
      </c>
      <c r="ED151" s="94">
        <f t="shared" si="419"/>
        <v>-1300</v>
      </c>
      <c r="EE151" s="94">
        <f t="shared" si="419"/>
        <v>-795</v>
      </c>
      <c r="EF151" s="94">
        <f t="shared" si="420"/>
        <v>-331</v>
      </c>
      <c r="EG151" s="94">
        <f t="shared" si="420"/>
        <v>-729</v>
      </c>
      <c r="EH151" s="94">
        <f t="shared" si="420"/>
        <v>-405</v>
      </c>
      <c r="EI151" s="94">
        <f t="shared" si="420"/>
        <v>534</v>
      </c>
      <c r="EJ151" s="94">
        <f t="shared" si="420"/>
        <v>-1445</v>
      </c>
      <c r="EK151" s="94">
        <f t="shared" si="420"/>
        <v>-176</v>
      </c>
      <c r="EL151" s="94">
        <f t="shared" si="420"/>
        <v>621</v>
      </c>
    </row>
    <row r="152" spans="2:142" x14ac:dyDescent="0.3">
      <c r="B152" s="129" t="s">
        <v>599</v>
      </c>
      <c r="C152" s="129" t="s">
        <v>473</v>
      </c>
      <c r="D152" s="183" t="str">
        <f>IF(Menu!$D$12="PT",'Dados Financeiros'!B152,'Dados Financeiros'!C152)</f>
        <v>Impostos a recuperar - FCX</v>
      </c>
      <c r="E152" s="4">
        <v>197</v>
      </c>
      <c r="F152" s="4">
        <v>-2045</v>
      </c>
      <c r="G152" s="4">
        <v>-1072</v>
      </c>
      <c r="H152" s="4">
        <v>-2585</v>
      </c>
      <c r="I152" s="4">
        <v>407</v>
      </c>
      <c r="J152" s="4">
        <v>68</v>
      </c>
      <c r="K152" s="4">
        <v>-430</v>
      </c>
      <c r="L152" s="4">
        <v>-888</v>
      </c>
      <c r="M152" s="4">
        <v>-653</v>
      </c>
      <c r="N152" s="4">
        <v>-525</v>
      </c>
      <c r="O152" s="4">
        <v>123</v>
      </c>
      <c r="P152" s="4">
        <v>339</v>
      </c>
      <c r="Q152" s="4">
        <v>-862</v>
      </c>
      <c r="R152" s="4">
        <v>-4347</v>
      </c>
      <c r="S152" s="4">
        <v>675</v>
      </c>
      <c r="T152" s="4">
        <v>-391</v>
      </c>
      <c r="U152" s="4">
        <v>-1532</v>
      </c>
      <c r="V152" s="4">
        <v>1783</v>
      </c>
      <c r="W152" s="4">
        <v>-3142</v>
      </c>
      <c r="X152" s="4">
        <v>13</v>
      </c>
      <c r="Y152" s="4">
        <v>-1401</v>
      </c>
      <c r="Z152" s="4">
        <v>-1142</v>
      </c>
      <c r="AA152" s="4">
        <v>-3337</v>
      </c>
      <c r="AB152" s="4">
        <v>-3123</v>
      </c>
      <c r="AC152" s="4">
        <v>311</v>
      </c>
      <c r="AD152" s="4">
        <v>690</v>
      </c>
      <c r="AE152" s="4">
        <v>981</v>
      </c>
      <c r="AF152" s="4">
        <v>1130</v>
      </c>
      <c r="AG152" s="4">
        <v>2862</v>
      </c>
      <c r="AH152" s="4">
        <v>1204</v>
      </c>
      <c r="AI152" s="4">
        <v>249</v>
      </c>
      <c r="AJ152" s="4">
        <v>48</v>
      </c>
      <c r="AK152" s="4">
        <v>-314</v>
      </c>
      <c r="AL152" s="4">
        <v>-1123</v>
      </c>
      <c r="AM152" s="4">
        <v>-1195</v>
      </c>
      <c r="AN152" s="4">
        <v>358</v>
      </c>
      <c r="AO152" s="4">
        <v>101</v>
      </c>
      <c r="AP152" s="4">
        <v>-3987</v>
      </c>
      <c r="AQ152" s="4">
        <v>-9635</v>
      </c>
      <c r="AR152" s="4">
        <v>2931</v>
      </c>
      <c r="AS152" s="4">
        <v>-504</v>
      </c>
      <c r="AT152" s="4">
        <v>-1303</v>
      </c>
      <c r="AU152" s="4">
        <v>1223</v>
      </c>
      <c r="AV152" s="4">
        <v>2315</v>
      </c>
      <c r="AW152" s="4">
        <v>-3412</v>
      </c>
      <c r="AX152" s="4">
        <v>-1718</v>
      </c>
      <c r="AY152" s="4">
        <v>-100</v>
      </c>
      <c r="AZ152" s="4">
        <v>4271</v>
      </c>
      <c r="BA152" s="94">
        <v>885</v>
      </c>
      <c r="BB152" s="4">
        <v>-2544</v>
      </c>
      <c r="BC152" s="4">
        <v>31</v>
      </c>
      <c r="BD152" s="4">
        <v>2664</v>
      </c>
      <c r="BE152" s="4">
        <v>3068</v>
      </c>
      <c r="BF152" s="4">
        <v>437</v>
      </c>
      <c r="BG152" s="4">
        <v>897</v>
      </c>
      <c r="BH152" s="4">
        <v>-3338</v>
      </c>
      <c r="BI152" s="4">
        <v>-808</v>
      </c>
      <c r="BJ152" s="4">
        <v>199</v>
      </c>
      <c r="BK152" s="4">
        <v>-1099</v>
      </c>
      <c r="BL152" s="4">
        <v>2171</v>
      </c>
      <c r="BM152" s="4">
        <v>-126</v>
      </c>
      <c r="BN152" s="4">
        <v>-1035</v>
      </c>
      <c r="BO152" s="4">
        <v>1031</v>
      </c>
      <c r="BP152" s="4">
        <v>21</v>
      </c>
      <c r="BQ152" s="4">
        <v>2871</v>
      </c>
      <c r="BR152" s="4">
        <v>1308</v>
      </c>
      <c r="BS152" s="4">
        <v>-1022</v>
      </c>
      <c r="BT152" s="4">
        <v>535</v>
      </c>
      <c r="BU152" s="4">
        <v>1214</v>
      </c>
      <c r="BV152" s="4">
        <v>-1136</v>
      </c>
      <c r="BW152" s="4">
        <v>-310</v>
      </c>
      <c r="BX152" s="4">
        <v>185</v>
      </c>
      <c r="BY152" s="4">
        <v>-2427</v>
      </c>
      <c r="BZ152" s="4">
        <v>2404</v>
      </c>
      <c r="CA152" s="4">
        <v>-968</v>
      </c>
      <c r="CB152" s="4">
        <v>3606</v>
      </c>
      <c r="CC152" s="4">
        <v>-665</v>
      </c>
      <c r="CD152" s="4">
        <v>-1300</v>
      </c>
      <c r="CE152" s="4">
        <v>1773</v>
      </c>
      <c r="CF152" s="4">
        <v>1601</v>
      </c>
      <c r="CH152" s="94">
        <f t="shared" si="415"/>
        <v>-1848</v>
      </c>
      <c r="CI152" s="94">
        <f t="shared" si="415"/>
        <v>-2920</v>
      </c>
      <c r="CJ152" s="94">
        <f t="shared" si="415"/>
        <v>-5505</v>
      </c>
      <c r="CK152" s="94">
        <f t="shared" si="415"/>
        <v>475</v>
      </c>
      <c r="CL152" s="94">
        <f t="shared" si="415"/>
        <v>45</v>
      </c>
      <c r="CM152" s="94">
        <f t="shared" si="415"/>
        <v>-843</v>
      </c>
      <c r="CN152" s="94">
        <f t="shared" si="415"/>
        <v>-1178</v>
      </c>
      <c r="CO152" s="94">
        <f t="shared" si="415"/>
        <v>-1055</v>
      </c>
      <c r="CP152" s="94">
        <f t="shared" si="415"/>
        <v>-716</v>
      </c>
      <c r="CQ152" s="94">
        <f t="shared" si="415"/>
        <v>-5209</v>
      </c>
      <c r="CR152" s="94">
        <f t="shared" si="416"/>
        <v>-4534</v>
      </c>
      <c r="CS152" s="94">
        <f t="shared" si="416"/>
        <v>-4925</v>
      </c>
      <c r="CT152" s="94">
        <f t="shared" si="416"/>
        <v>251</v>
      </c>
      <c r="CU152" s="94">
        <f t="shared" si="416"/>
        <v>-2891</v>
      </c>
      <c r="CV152" s="94">
        <f t="shared" si="416"/>
        <v>-2878</v>
      </c>
      <c r="CW152" s="94">
        <f t="shared" si="416"/>
        <v>-4265</v>
      </c>
      <c r="CX152" s="94">
        <f t="shared" si="416"/>
        <v>-3575</v>
      </c>
      <c r="CY152" s="94">
        <f t="shared" si="416"/>
        <v>-2445</v>
      </c>
      <c r="CZ152" s="94">
        <f t="shared" si="416"/>
        <v>4066</v>
      </c>
      <c r="DA152" s="94">
        <f t="shared" si="416"/>
        <v>4315</v>
      </c>
      <c r="DB152" s="94">
        <f t="shared" si="417"/>
        <v>4363</v>
      </c>
      <c r="DC152" s="94">
        <f t="shared" si="417"/>
        <v>-1437</v>
      </c>
      <c r="DD152" s="94">
        <f t="shared" si="417"/>
        <v>-2632</v>
      </c>
      <c r="DE152" s="94">
        <f t="shared" si="417"/>
        <v>-2274</v>
      </c>
      <c r="DF152" s="94">
        <f t="shared" si="417"/>
        <v>-3886</v>
      </c>
      <c r="DG152" s="94">
        <f t="shared" si="417"/>
        <v>-13521</v>
      </c>
      <c r="DH152" s="94">
        <f t="shared" si="417"/>
        <v>-10590</v>
      </c>
      <c r="DI152" s="94">
        <f t="shared" si="417"/>
        <v>-1807</v>
      </c>
      <c r="DJ152" s="94">
        <f t="shared" si="417"/>
        <v>-584</v>
      </c>
      <c r="DK152" s="94">
        <f t="shared" si="417"/>
        <v>1731</v>
      </c>
      <c r="DL152" s="94">
        <f t="shared" si="418"/>
        <v>-5130</v>
      </c>
      <c r="DM152" s="94">
        <f t="shared" si="418"/>
        <v>-5230</v>
      </c>
      <c r="DN152" s="94">
        <f t="shared" si="418"/>
        <v>-959</v>
      </c>
      <c r="DO152" s="94">
        <f t="shared" si="418"/>
        <v>-1659</v>
      </c>
      <c r="DP152" s="94">
        <f t="shared" si="418"/>
        <v>-1628</v>
      </c>
      <c r="DQ152" s="94">
        <f t="shared" si="418"/>
        <v>1036</v>
      </c>
      <c r="DR152" s="94">
        <f t="shared" si="418"/>
        <v>3505</v>
      </c>
      <c r="DS152" s="94">
        <f t="shared" si="418"/>
        <v>4402</v>
      </c>
      <c r="DT152" s="94">
        <f t="shared" si="418"/>
        <v>1064</v>
      </c>
      <c r="DU152" s="94">
        <f t="shared" si="418"/>
        <v>-609</v>
      </c>
      <c r="DV152" s="94">
        <f t="shared" si="419"/>
        <v>-1708</v>
      </c>
      <c r="DW152" s="94">
        <f t="shared" si="419"/>
        <v>463</v>
      </c>
      <c r="DX152" s="94">
        <f t="shared" si="419"/>
        <v>-1161</v>
      </c>
      <c r="DY152" s="94">
        <f t="shared" si="419"/>
        <v>-130</v>
      </c>
      <c r="DZ152" s="94">
        <f t="shared" si="419"/>
        <v>-109</v>
      </c>
      <c r="EA152" s="94">
        <f t="shared" si="419"/>
        <v>4179</v>
      </c>
      <c r="EB152" s="94">
        <f t="shared" si="419"/>
        <v>3157</v>
      </c>
      <c r="EC152" s="94">
        <f t="shared" si="419"/>
        <v>3692</v>
      </c>
      <c r="ED152" s="94">
        <f t="shared" si="419"/>
        <v>78</v>
      </c>
      <c r="EE152" s="94">
        <f t="shared" si="419"/>
        <v>-232</v>
      </c>
      <c r="EF152" s="94">
        <f t="shared" si="420"/>
        <v>-47</v>
      </c>
      <c r="EG152" s="94">
        <f t="shared" si="420"/>
        <v>-23</v>
      </c>
      <c r="EH152" s="94">
        <f t="shared" si="420"/>
        <v>-991</v>
      </c>
      <c r="EI152" s="94">
        <f t="shared" si="420"/>
        <v>2615</v>
      </c>
      <c r="EJ152" s="94">
        <f t="shared" si="420"/>
        <v>-1965</v>
      </c>
      <c r="EK152" s="94">
        <f t="shared" si="420"/>
        <v>-192</v>
      </c>
      <c r="EL152" s="94">
        <f t="shared" si="420"/>
        <v>1409</v>
      </c>
    </row>
    <row r="153" spans="2:142" x14ac:dyDescent="0.3">
      <c r="B153" s="129" t="s">
        <v>600</v>
      </c>
      <c r="C153" s="129" t="s">
        <v>474</v>
      </c>
      <c r="D153" s="183" t="str">
        <f>IF(Menu!$D$12="PT",'Dados Financeiros'!B153,'Dados Financeiros'!C153)</f>
        <v>Outras contas a receber - FCX</v>
      </c>
      <c r="E153" s="4">
        <v>-3610</v>
      </c>
      <c r="F153" s="4">
        <v>-11823</v>
      </c>
      <c r="G153" s="4">
        <v>-5391</v>
      </c>
      <c r="H153" s="4">
        <v>-5576</v>
      </c>
      <c r="I153" s="4">
        <v>-2488</v>
      </c>
      <c r="J153" s="4">
        <v>-5158</v>
      </c>
      <c r="K153" s="4">
        <v>-3232</v>
      </c>
      <c r="L153" s="4">
        <v>2708</v>
      </c>
      <c r="M153" s="4">
        <v>0</v>
      </c>
      <c r="N153" s="4">
        <v>-1341</v>
      </c>
      <c r="O153" s="4">
        <v>-737</v>
      </c>
      <c r="P153" s="4">
        <v>3402</v>
      </c>
      <c r="Q153" s="4">
        <v>-1260</v>
      </c>
      <c r="R153" s="4">
        <v>-1757</v>
      </c>
      <c r="S153" s="4">
        <v>-442</v>
      </c>
      <c r="T153" s="4">
        <v>50735</v>
      </c>
      <c r="U153" s="4">
        <v>160</v>
      </c>
      <c r="V153" s="4">
        <v>-572</v>
      </c>
      <c r="W153" s="4">
        <v>-2598</v>
      </c>
      <c r="X153" s="4">
        <v>-1292</v>
      </c>
      <c r="Y153" s="4">
        <v>40</v>
      </c>
      <c r="Z153" s="4">
        <v>18</v>
      </c>
      <c r="AA153" s="4">
        <v>576</v>
      </c>
      <c r="AB153" s="4">
        <v>537</v>
      </c>
      <c r="AC153" s="4">
        <v>-1458</v>
      </c>
      <c r="AD153" s="4">
        <v>-1379</v>
      </c>
      <c r="AE153" s="4">
        <v>1754</v>
      </c>
      <c r="AF153" s="4">
        <v>1688</v>
      </c>
      <c r="AG153" s="4">
        <v>-25</v>
      </c>
      <c r="AH153" s="4">
        <v>-666</v>
      </c>
      <c r="AI153" s="4">
        <v>-177</v>
      </c>
      <c r="AJ153" s="4">
        <v>-6559</v>
      </c>
      <c r="AK153" s="4">
        <v>-942</v>
      </c>
      <c r="AL153" s="4">
        <v>-102</v>
      </c>
      <c r="AM153" s="4">
        <v>-540</v>
      </c>
      <c r="AN153" s="4">
        <v>-1</v>
      </c>
      <c r="AO153" s="4">
        <v>-2122</v>
      </c>
      <c r="AP153" s="4">
        <v>-955</v>
      </c>
      <c r="AQ153" s="4">
        <v>-3672</v>
      </c>
      <c r="AR153" s="4">
        <v>9203</v>
      </c>
      <c r="AS153" s="4">
        <v>227</v>
      </c>
      <c r="AT153" s="4">
        <v>-4701</v>
      </c>
      <c r="AU153" s="4">
        <v>-658</v>
      </c>
      <c r="AV153" s="4">
        <v>598</v>
      </c>
      <c r="AW153" s="4">
        <v>-946</v>
      </c>
      <c r="AX153" s="4">
        <v>-519</v>
      </c>
      <c r="AY153" s="4">
        <v>-492</v>
      </c>
      <c r="AZ153" s="4">
        <v>636</v>
      </c>
      <c r="BA153" s="94">
        <v>452</v>
      </c>
      <c r="BB153" s="4">
        <v>8031</v>
      </c>
      <c r="BC153" s="4">
        <v>-1086</v>
      </c>
      <c r="BD153" s="4">
        <v>-7174</v>
      </c>
      <c r="BE153" s="4">
        <v>-627</v>
      </c>
      <c r="BF153" s="4">
        <v>-191</v>
      </c>
      <c r="BG153" s="4">
        <v>705</v>
      </c>
      <c r="BH153" s="4">
        <v>-152</v>
      </c>
      <c r="BI153" s="4">
        <v>1693</v>
      </c>
      <c r="BJ153" s="4">
        <v>-228</v>
      </c>
      <c r="BK153" s="4">
        <v>631</v>
      </c>
      <c r="BL153" s="4">
        <v>-222</v>
      </c>
      <c r="BM153" s="4">
        <v>3210</v>
      </c>
      <c r="BN153" s="4">
        <v>-1568</v>
      </c>
      <c r="BO153" s="4">
        <v>292</v>
      </c>
      <c r="BP153" s="4">
        <v>1446</v>
      </c>
      <c r="BQ153" s="4">
        <v>2080</v>
      </c>
      <c r="BR153" s="4">
        <v>301</v>
      </c>
      <c r="BS153" s="4">
        <v>-6716</v>
      </c>
      <c r="BT153" s="4">
        <v>471</v>
      </c>
      <c r="BU153" s="4">
        <v>-215</v>
      </c>
      <c r="BV153" s="4">
        <v>-6049</v>
      </c>
      <c r="BW153" s="4">
        <v>-27086</v>
      </c>
      <c r="BX153" s="4">
        <v>-7520</v>
      </c>
      <c r="BY153" s="4">
        <v>-6936</v>
      </c>
      <c r="BZ153" s="4">
        <v>-61226</v>
      </c>
      <c r="CA153" s="4">
        <v>37447</v>
      </c>
      <c r="CB153" s="4">
        <v>340</v>
      </c>
      <c r="CC153" s="4">
        <v>-6218</v>
      </c>
      <c r="CD153" s="4">
        <v>-133</v>
      </c>
      <c r="CE153" s="4">
        <v>-4693</v>
      </c>
      <c r="CF153" s="4">
        <v>-1701</v>
      </c>
      <c r="CH153" s="94">
        <f t="shared" si="415"/>
        <v>-15433</v>
      </c>
      <c r="CI153" s="94">
        <f t="shared" si="415"/>
        <v>-20824</v>
      </c>
      <c r="CJ153" s="94">
        <f t="shared" si="415"/>
        <v>-26400</v>
      </c>
      <c r="CK153" s="94">
        <f t="shared" si="415"/>
        <v>-7646</v>
      </c>
      <c r="CL153" s="94">
        <f t="shared" si="415"/>
        <v>-10878</v>
      </c>
      <c r="CM153" s="94">
        <f t="shared" si="415"/>
        <v>-8170</v>
      </c>
      <c r="CN153" s="94">
        <f t="shared" si="415"/>
        <v>-1341</v>
      </c>
      <c r="CO153" s="94">
        <f t="shared" si="415"/>
        <v>-2078</v>
      </c>
      <c r="CP153" s="94">
        <f t="shared" si="415"/>
        <v>1324</v>
      </c>
      <c r="CQ153" s="94">
        <f t="shared" si="415"/>
        <v>-3017</v>
      </c>
      <c r="CR153" s="94">
        <f t="shared" si="416"/>
        <v>-3459</v>
      </c>
      <c r="CS153" s="94">
        <f t="shared" si="416"/>
        <v>47276</v>
      </c>
      <c r="CT153" s="94">
        <f t="shared" si="416"/>
        <v>-412</v>
      </c>
      <c r="CU153" s="94">
        <f t="shared" si="416"/>
        <v>-3010</v>
      </c>
      <c r="CV153" s="94">
        <f t="shared" si="416"/>
        <v>-4302</v>
      </c>
      <c r="CW153" s="94">
        <f t="shared" si="416"/>
        <v>555</v>
      </c>
      <c r="CX153" s="94">
        <f t="shared" si="416"/>
        <v>-824</v>
      </c>
      <c r="CY153" s="94">
        <f t="shared" si="416"/>
        <v>864</v>
      </c>
      <c r="CZ153" s="94">
        <f t="shared" si="416"/>
        <v>-691</v>
      </c>
      <c r="DA153" s="94">
        <f t="shared" si="416"/>
        <v>-868</v>
      </c>
      <c r="DB153" s="94">
        <f t="shared" si="417"/>
        <v>-7427</v>
      </c>
      <c r="DC153" s="94">
        <f t="shared" si="417"/>
        <v>-1044</v>
      </c>
      <c r="DD153" s="94">
        <f t="shared" si="417"/>
        <v>-1584</v>
      </c>
      <c r="DE153" s="94">
        <f t="shared" si="417"/>
        <v>-1585</v>
      </c>
      <c r="DF153" s="94">
        <f t="shared" si="417"/>
        <v>-3077</v>
      </c>
      <c r="DG153" s="94">
        <f t="shared" si="417"/>
        <v>-6749</v>
      </c>
      <c r="DH153" s="94">
        <f t="shared" si="417"/>
        <v>2454</v>
      </c>
      <c r="DI153" s="94">
        <f t="shared" si="417"/>
        <v>-4474</v>
      </c>
      <c r="DJ153" s="94">
        <f t="shared" si="417"/>
        <v>-5132</v>
      </c>
      <c r="DK153" s="94">
        <f t="shared" si="417"/>
        <v>-4534</v>
      </c>
      <c r="DL153" s="94">
        <f t="shared" si="418"/>
        <v>-1465</v>
      </c>
      <c r="DM153" s="94">
        <f t="shared" si="418"/>
        <v>-1957</v>
      </c>
      <c r="DN153" s="94">
        <f t="shared" si="418"/>
        <v>-1321</v>
      </c>
      <c r="DO153" s="94">
        <f t="shared" si="418"/>
        <v>8483</v>
      </c>
      <c r="DP153" s="94">
        <f t="shared" si="418"/>
        <v>7397</v>
      </c>
      <c r="DQ153" s="94">
        <f t="shared" si="418"/>
        <v>223</v>
      </c>
      <c r="DR153" s="94">
        <f t="shared" si="418"/>
        <v>-818</v>
      </c>
      <c r="DS153" s="94">
        <f t="shared" si="418"/>
        <v>-113</v>
      </c>
      <c r="DT153" s="94">
        <f t="shared" si="418"/>
        <v>-265</v>
      </c>
      <c r="DU153" s="94">
        <f t="shared" si="418"/>
        <v>1465</v>
      </c>
      <c r="DV153" s="94">
        <f t="shared" si="419"/>
        <v>2096</v>
      </c>
      <c r="DW153" s="94">
        <f t="shared" si="419"/>
        <v>1874</v>
      </c>
      <c r="DX153" s="94">
        <f t="shared" si="419"/>
        <v>1642</v>
      </c>
      <c r="DY153" s="94">
        <f t="shared" si="419"/>
        <v>1934</v>
      </c>
      <c r="DZ153" s="94">
        <f t="shared" si="419"/>
        <v>3380</v>
      </c>
      <c r="EA153" s="94">
        <f t="shared" si="419"/>
        <v>2381</v>
      </c>
      <c r="EB153" s="94">
        <f t="shared" si="419"/>
        <v>-4335</v>
      </c>
      <c r="EC153" s="94">
        <f t="shared" si="419"/>
        <v>-3864</v>
      </c>
      <c r="ED153" s="94">
        <f t="shared" si="419"/>
        <v>-6264</v>
      </c>
      <c r="EE153" s="94">
        <f t="shared" si="419"/>
        <v>-33350</v>
      </c>
      <c r="EF153" s="94">
        <f t="shared" si="420"/>
        <v>-40870</v>
      </c>
      <c r="EG153" s="94">
        <f t="shared" si="420"/>
        <v>-68162</v>
      </c>
      <c r="EH153" s="94">
        <f t="shared" si="420"/>
        <v>-30715</v>
      </c>
      <c r="EI153" s="94">
        <f t="shared" si="420"/>
        <v>-30375</v>
      </c>
      <c r="EJ153" s="94">
        <f t="shared" si="420"/>
        <v>-6351</v>
      </c>
      <c r="EK153" s="94">
        <f t="shared" si="420"/>
        <v>-11044</v>
      </c>
      <c r="EL153" s="94">
        <f t="shared" si="420"/>
        <v>-12745</v>
      </c>
    </row>
    <row r="154" spans="2:142" x14ac:dyDescent="0.3">
      <c r="B154" s="129" t="s">
        <v>601</v>
      </c>
      <c r="C154" s="129" t="s">
        <v>391</v>
      </c>
      <c r="D154" s="183" t="str">
        <f>IF(Menu!$D$12="PT",'Dados Financeiros'!B154,'Dados Financeiros'!C154)</f>
        <v>Partes relacionadas - FCX</v>
      </c>
      <c r="E154" s="4">
        <v>2163</v>
      </c>
      <c r="F154" s="4">
        <v>4223</v>
      </c>
      <c r="G154" s="4">
        <v>-3369</v>
      </c>
      <c r="H154" s="4">
        <v>-4344</v>
      </c>
      <c r="I154" s="4">
        <v>-5540</v>
      </c>
      <c r="J154" s="4">
        <v>-3048</v>
      </c>
      <c r="K154" s="4">
        <v>-5630</v>
      </c>
      <c r="L154" s="4">
        <v>-8074</v>
      </c>
      <c r="M154" s="4">
        <v>1748</v>
      </c>
      <c r="N154" s="4">
        <v>-2785</v>
      </c>
      <c r="O154" s="4">
        <v>-11014</v>
      </c>
      <c r="P154" s="4">
        <v>-10934</v>
      </c>
      <c r="Q154" s="4">
        <v>-7122</v>
      </c>
      <c r="R154" s="4">
        <v>28293</v>
      </c>
      <c r="S154" s="4">
        <v>-3699</v>
      </c>
      <c r="T154" s="4">
        <v>-11003</v>
      </c>
      <c r="U154" s="4">
        <v>-1219</v>
      </c>
      <c r="V154" s="4">
        <v>-7908</v>
      </c>
      <c r="W154" s="4">
        <v>-11799</v>
      </c>
      <c r="X154" s="4">
        <v>33835</v>
      </c>
      <c r="Y154" s="4">
        <v>-26662</v>
      </c>
      <c r="Z154" s="4">
        <v>-23728</v>
      </c>
      <c r="AA154" s="4">
        <v>7682</v>
      </c>
      <c r="AB154" s="4">
        <v>10928</v>
      </c>
      <c r="AC154" s="4">
        <v>-6058</v>
      </c>
      <c r="AD154" s="4">
        <v>5290</v>
      </c>
      <c r="AE154" s="4">
        <v>1715</v>
      </c>
      <c r="AF154" s="4">
        <v>15467</v>
      </c>
      <c r="AG154" s="4">
        <v>31491</v>
      </c>
      <c r="AH154" s="4">
        <v>-53971</v>
      </c>
      <c r="AI154" s="4">
        <v>15032</v>
      </c>
      <c r="AJ154" s="4">
        <v>27882</v>
      </c>
      <c r="AK154" s="4">
        <v>-17977</v>
      </c>
      <c r="AL154" s="4">
        <v>-12227</v>
      </c>
      <c r="AM154" s="4">
        <v>-18769</v>
      </c>
      <c r="AN154" s="4">
        <v>13312</v>
      </c>
      <c r="AO154" s="4">
        <v>-17176</v>
      </c>
      <c r="AP154" s="4">
        <v>-2184</v>
      </c>
      <c r="AQ154" s="4">
        <v>15968</v>
      </c>
      <c r="AR154" s="4">
        <v>-160157</v>
      </c>
      <c r="AS154" s="4">
        <v>-30793</v>
      </c>
      <c r="AT154" s="4">
        <v>30312</v>
      </c>
      <c r="AU154" s="4">
        <v>-11832</v>
      </c>
      <c r="AV154" s="4">
        <v>-25667</v>
      </c>
      <c r="AW154" s="4">
        <v>-11428</v>
      </c>
      <c r="AX154" s="4">
        <v>-6657</v>
      </c>
      <c r="AY154" s="4">
        <v>-27915</v>
      </c>
      <c r="AZ154" s="4">
        <v>43113</v>
      </c>
      <c r="BA154" s="94">
        <v>13488</v>
      </c>
      <c r="BB154" s="4">
        <v>-3712</v>
      </c>
      <c r="BC154" s="4">
        <v>-12486</v>
      </c>
      <c r="BD154" s="4">
        <v>-11059</v>
      </c>
      <c r="BE154" s="4">
        <v>-8658</v>
      </c>
      <c r="BF154" s="4">
        <v>-17218</v>
      </c>
      <c r="BG154" s="4">
        <v>-205</v>
      </c>
      <c r="BH154" s="4">
        <v>2047</v>
      </c>
      <c r="BI154" s="4">
        <v>-26736</v>
      </c>
      <c r="BJ154" s="4">
        <v>1424</v>
      </c>
      <c r="BK154" s="4">
        <v>-17896</v>
      </c>
      <c r="BL154" s="4">
        <v>63410</v>
      </c>
      <c r="BM154" s="4">
        <v>-4637</v>
      </c>
      <c r="BN154" s="4">
        <v>6479</v>
      </c>
      <c r="BO154" s="4">
        <v>3161</v>
      </c>
      <c r="BP154" s="4">
        <v>11534</v>
      </c>
      <c r="BQ154" s="4">
        <v>191</v>
      </c>
      <c r="BR154" s="4">
        <v>859</v>
      </c>
      <c r="BS154" s="4">
        <v>7114</v>
      </c>
      <c r="BT154" s="4">
        <v>-8818</v>
      </c>
      <c r="BU154" s="4">
        <v>13088</v>
      </c>
      <c r="BV154" s="4">
        <v>302</v>
      </c>
      <c r="BW154" s="4">
        <v>-1027</v>
      </c>
      <c r="BX154" s="4">
        <v>-41037</v>
      </c>
      <c r="BY154" s="4">
        <v>5773</v>
      </c>
      <c r="BZ154" s="4">
        <v>848</v>
      </c>
      <c r="CA154" s="4">
        <v>443</v>
      </c>
      <c r="CB154" s="4">
        <v>307</v>
      </c>
      <c r="CC154" s="4">
        <v>-2784</v>
      </c>
      <c r="CD154" s="4">
        <v>-1523</v>
      </c>
      <c r="CE154" s="4">
        <v>-1346</v>
      </c>
      <c r="CF154" s="4">
        <v>7352</v>
      </c>
      <c r="CH154" s="94">
        <f t="shared" si="415"/>
        <v>6386</v>
      </c>
      <c r="CI154" s="94">
        <f t="shared" si="415"/>
        <v>3017</v>
      </c>
      <c r="CJ154" s="94">
        <f t="shared" si="415"/>
        <v>-1327</v>
      </c>
      <c r="CK154" s="94">
        <f t="shared" si="415"/>
        <v>-8588</v>
      </c>
      <c r="CL154" s="94">
        <f t="shared" si="415"/>
        <v>-14218</v>
      </c>
      <c r="CM154" s="94">
        <f t="shared" si="415"/>
        <v>-22292</v>
      </c>
      <c r="CN154" s="94">
        <f t="shared" si="415"/>
        <v>-1037</v>
      </c>
      <c r="CO154" s="94">
        <f t="shared" si="415"/>
        <v>-12051</v>
      </c>
      <c r="CP154" s="94">
        <f t="shared" si="415"/>
        <v>-22985</v>
      </c>
      <c r="CQ154" s="94">
        <f t="shared" si="415"/>
        <v>21171</v>
      </c>
      <c r="CR154" s="94">
        <f t="shared" si="416"/>
        <v>17472</v>
      </c>
      <c r="CS154" s="94">
        <f t="shared" si="416"/>
        <v>6469</v>
      </c>
      <c r="CT154" s="94">
        <f t="shared" si="416"/>
        <v>-9127</v>
      </c>
      <c r="CU154" s="94">
        <f t="shared" si="416"/>
        <v>-20926</v>
      </c>
      <c r="CV154" s="94">
        <f t="shared" si="416"/>
        <v>12909</v>
      </c>
      <c r="CW154" s="94">
        <f t="shared" si="416"/>
        <v>-12800</v>
      </c>
      <c r="CX154" s="94">
        <f t="shared" si="416"/>
        <v>-7510</v>
      </c>
      <c r="CY154" s="94">
        <f t="shared" si="416"/>
        <v>7957</v>
      </c>
      <c r="CZ154" s="94">
        <f t="shared" si="416"/>
        <v>-22480</v>
      </c>
      <c r="DA154" s="94">
        <f t="shared" si="416"/>
        <v>-7448</v>
      </c>
      <c r="DB154" s="94">
        <f t="shared" si="417"/>
        <v>20434</v>
      </c>
      <c r="DC154" s="94">
        <f t="shared" si="417"/>
        <v>-30204</v>
      </c>
      <c r="DD154" s="94">
        <f t="shared" si="417"/>
        <v>-48973</v>
      </c>
      <c r="DE154" s="94">
        <f t="shared" si="417"/>
        <v>-35661</v>
      </c>
      <c r="DF154" s="94">
        <f t="shared" si="417"/>
        <v>-19360</v>
      </c>
      <c r="DG154" s="94">
        <f t="shared" si="417"/>
        <v>-3392</v>
      </c>
      <c r="DH154" s="94">
        <f t="shared" si="417"/>
        <v>-163549</v>
      </c>
      <c r="DI154" s="94">
        <f t="shared" si="417"/>
        <v>-481</v>
      </c>
      <c r="DJ154" s="94">
        <f t="shared" si="417"/>
        <v>-12313</v>
      </c>
      <c r="DK154" s="94">
        <f t="shared" si="417"/>
        <v>-37980</v>
      </c>
      <c r="DL154" s="94">
        <f t="shared" si="418"/>
        <v>-18085</v>
      </c>
      <c r="DM154" s="94">
        <f t="shared" si="418"/>
        <v>-46000</v>
      </c>
      <c r="DN154" s="94">
        <f t="shared" si="418"/>
        <v>-2887</v>
      </c>
      <c r="DO154" s="94">
        <f t="shared" si="418"/>
        <v>9776</v>
      </c>
      <c r="DP154" s="94">
        <f t="shared" si="418"/>
        <v>-2710</v>
      </c>
      <c r="DQ154" s="94">
        <f t="shared" si="418"/>
        <v>-13769</v>
      </c>
      <c r="DR154" s="94">
        <f t="shared" si="418"/>
        <v>-25876</v>
      </c>
      <c r="DS154" s="94">
        <f t="shared" si="418"/>
        <v>-26081</v>
      </c>
      <c r="DT154" s="94">
        <f t="shared" si="418"/>
        <v>-24034</v>
      </c>
      <c r="DU154" s="94">
        <f t="shared" si="418"/>
        <v>-25312</v>
      </c>
      <c r="DV154" s="94">
        <f t="shared" si="419"/>
        <v>-43208</v>
      </c>
      <c r="DW154" s="94">
        <f t="shared" si="419"/>
        <v>20202</v>
      </c>
      <c r="DX154" s="94">
        <f t="shared" si="419"/>
        <v>1842</v>
      </c>
      <c r="DY154" s="94">
        <f t="shared" si="419"/>
        <v>5003</v>
      </c>
      <c r="DZ154" s="94">
        <f t="shared" si="419"/>
        <v>16537</v>
      </c>
      <c r="EA154" s="94">
        <f t="shared" si="419"/>
        <v>1050</v>
      </c>
      <c r="EB154" s="94">
        <f t="shared" si="419"/>
        <v>8164</v>
      </c>
      <c r="EC154" s="94">
        <f t="shared" si="419"/>
        <v>-654</v>
      </c>
      <c r="ED154" s="94">
        <f t="shared" si="419"/>
        <v>13390</v>
      </c>
      <c r="EE154" s="94">
        <f t="shared" si="419"/>
        <v>12363</v>
      </c>
      <c r="EF154" s="94">
        <f t="shared" si="420"/>
        <v>-28674</v>
      </c>
      <c r="EG154" s="94">
        <f t="shared" si="420"/>
        <v>6621</v>
      </c>
      <c r="EH154" s="94">
        <f t="shared" si="420"/>
        <v>7064</v>
      </c>
      <c r="EI154" s="94">
        <f t="shared" si="420"/>
        <v>7371</v>
      </c>
      <c r="EJ154" s="94">
        <f t="shared" si="420"/>
        <v>-4307</v>
      </c>
      <c r="EK154" s="94">
        <f t="shared" si="420"/>
        <v>-5653</v>
      </c>
      <c r="EL154" s="94">
        <f t="shared" si="420"/>
        <v>1699</v>
      </c>
    </row>
    <row r="155" spans="2:142" x14ac:dyDescent="0.3">
      <c r="B155" s="129" t="s">
        <v>602</v>
      </c>
      <c r="C155" s="129" t="s">
        <v>475</v>
      </c>
      <c r="D155" s="183" t="str">
        <f>IF(Menu!$D$12="PT",'Dados Financeiros'!B155,'Dados Financeiros'!C155)</f>
        <v>Participações em consórcios - FCX</v>
      </c>
      <c r="E155" s="4">
        <v>4573</v>
      </c>
      <c r="F155" s="4">
        <v>1519</v>
      </c>
      <c r="G155" s="4">
        <v>-1387</v>
      </c>
      <c r="H155" s="4">
        <v>1213</v>
      </c>
      <c r="I155" s="4">
        <v>1200</v>
      </c>
      <c r="J155" s="4">
        <v>13674</v>
      </c>
      <c r="K155" s="4">
        <v>-15063</v>
      </c>
      <c r="L155" s="4">
        <v>-2379</v>
      </c>
      <c r="M155" s="4">
        <v>1859</v>
      </c>
      <c r="N155" s="4">
        <v>-341</v>
      </c>
      <c r="O155" s="4">
        <v>-3035</v>
      </c>
      <c r="P155" s="4">
        <v>-5138</v>
      </c>
      <c r="Q155" s="4">
        <v>1282</v>
      </c>
      <c r="R155" s="4">
        <v>9548</v>
      </c>
      <c r="S155" s="4">
        <v>3829</v>
      </c>
      <c r="T155" s="4">
        <v>9913</v>
      </c>
      <c r="U155" s="4">
        <v>6948</v>
      </c>
      <c r="V155" s="4">
        <v>1868</v>
      </c>
      <c r="W155" s="4">
        <v>-660</v>
      </c>
      <c r="X155" s="4">
        <v>-288</v>
      </c>
      <c r="Y155" s="4">
        <v>3315</v>
      </c>
      <c r="Z155" s="4">
        <v>860</v>
      </c>
      <c r="AA155" s="4">
        <v>-895</v>
      </c>
      <c r="AB155" s="4">
        <v>2113</v>
      </c>
      <c r="AC155" s="4">
        <v>553</v>
      </c>
      <c r="AD155" s="4">
        <v>479</v>
      </c>
      <c r="AE155" s="4">
        <v>-29475</v>
      </c>
      <c r="AF155" s="4">
        <v>-33275</v>
      </c>
      <c r="AG155" s="4">
        <v>-920</v>
      </c>
      <c r="AH155" s="4">
        <v>-470</v>
      </c>
      <c r="AI155" s="4">
        <v>-334</v>
      </c>
      <c r="AJ155" s="4">
        <v>-283</v>
      </c>
      <c r="AK155" s="4">
        <v>-248</v>
      </c>
      <c r="AL155" s="4">
        <v>-1444</v>
      </c>
      <c r="AM155" s="4">
        <v>-227</v>
      </c>
      <c r="AN155" s="4">
        <v>-720</v>
      </c>
      <c r="AO155" s="4">
        <v>3076</v>
      </c>
      <c r="AP155" s="4">
        <v>1787</v>
      </c>
      <c r="AQ155" s="4">
        <v>-2293</v>
      </c>
      <c r="AR155" s="4">
        <v>913</v>
      </c>
      <c r="AS155" s="4">
        <v>728</v>
      </c>
      <c r="AT155" s="4">
        <v>286</v>
      </c>
      <c r="AU155" s="4">
        <v>2617</v>
      </c>
      <c r="AV155" s="4">
        <v>-360</v>
      </c>
      <c r="AW155" s="4">
        <v>-447</v>
      </c>
      <c r="AX155" s="4">
        <v>31</v>
      </c>
      <c r="AY155" s="4">
        <v>222</v>
      </c>
      <c r="AZ155" s="4">
        <v>8530</v>
      </c>
      <c r="BA155" s="94">
        <v>-674</v>
      </c>
      <c r="BB155" s="4">
        <v>595</v>
      </c>
      <c r="BC155" s="4">
        <v>-678</v>
      </c>
      <c r="BD155" s="4">
        <v>925</v>
      </c>
      <c r="BE155" s="4">
        <v>-827</v>
      </c>
      <c r="BF155" s="4">
        <v>37</v>
      </c>
      <c r="BG155" s="4">
        <v>-132</v>
      </c>
      <c r="BH155" s="4">
        <v>169</v>
      </c>
      <c r="BI155" s="4">
        <v>-21</v>
      </c>
      <c r="BJ155" s="4">
        <v>55</v>
      </c>
      <c r="BK155" s="4">
        <v>-68</v>
      </c>
      <c r="BL155" s="4">
        <v>350</v>
      </c>
      <c r="BM155" s="4">
        <v>-2852</v>
      </c>
      <c r="BN155" s="4">
        <v>-115</v>
      </c>
      <c r="BO155" s="4">
        <v>-63</v>
      </c>
      <c r="BP155" s="4">
        <v>748</v>
      </c>
      <c r="BQ155" s="4">
        <v>236</v>
      </c>
      <c r="BR155" s="4">
        <v>-12</v>
      </c>
      <c r="BS155" s="4">
        <v>-9</v>
      </c>
      <c r="BT155" s="4">
        <v>-9</v>
      </c>
      <c r="BU155" s="4">
        <v>-31</v>
      </c>
      <c r="BV155" s="4">
        <v>-9</v>
      </c>
      <c r="BW155" s="4">
        <v>-2</v>
      </c>
      <c r="BX155" s="4">
        <v>-1</v>
      </c>
      <c r="BY155" s="4">
        <v>-19</v>
      </c>
      <c r="BZ155" s="4">
        <v>-61</v>
      </c>
      <c r="CA155" s="4">
        <v>-8</v>
      </c>
      <c r="CB155" s="4">
        <v>-7</v>
      </c>
      <c r="CC155" s="4">
        <v>0</v>
      </c>
      <c r="CD155" s="4">
        <v>0</v>
      </c>
      <c r="CE155" s="4">
        <v>0</v>
      </c>
      <c r="CF155" s="4">
        <v>0</v>
      </c>
      <c r="CH155" s="94">
        <f t="shared" si="415"/>
        <v>6092</v>
      </c>
      <c r="CI155" s="94">
        <f t="shared" si="415"/>
        <v>4705</v>
      </c>
      <c r="CJ155" s="94">
        <f t="shared" si="415"/>
        <v>5918</v>
      </c>
      <c r="CK155" s="94">
        <f t="shared" si="415"/>
        <v>14874</v>
      </c>
      <c r="CL155" s="94">
        <f t="shared" si="415"/>
        <v>-189</v>
      </c>
      <c r="CM155" s="94">
        <f t="shared" si="415"/>
        <v>-2568</v>
      </c>
      <c r="CN155" s="94">
        <f t="shared" si="415"/>
        <v>1518</v>
      </c>
      <c r="CO155" s="94">
        <f t="shared" si="415"/>
        <v>-1517</v>
      </c>
      <c r="CP155" s="94">
        <f t="shared" si="415"/>
        <v>-6655</v>
      </c>
      <c r="CQ155" s="94">
        <f t="shared" si="415"/>
        <v>10830</v>
      </c>
      <c r="CR155" s="94">
        <f t="shared" si="416"/>
        <v>14659</v>
      </c>
      <c r="CS155" s="94">
        <f t="shared" si="416"/>
        <v>24572</v>
      </c>
      <c r="CT155" s="94">
        <f t="shared" si="416"/>
        <v>8816</v>
      </c>
      <c r="CU155" s="94">
        <f t="shared" si="416"/>
        <v>8156</v>
      </c>
      <c r="CV155" s="94">
        <f t="shared" si="416"/>
        <v>7868</v>
      </c>
      <c r="CW155" s="94">
        <f t="shared" si="416"/>
        <v>2973</v>
      </c>
      <c r="CX155" s="94">
        <f t="shared" si="416"/>
        <v>3452</v>
      </c>
      <c r="CY155" s="94">
        <f t="shared" si="416"/>
        <v>-29823</v>
      </c>
      <c r="CZ155" s="94">
        <f t="shared" si="416"/>
        <v>-1390</v>
      </c>
      <c r="DA155" s="94">
        <f t="shared" si="416"/>
        <v>-1724</v>
      </c>
      <c r="DB155" s="94">
        <f t="shared" si="417"/>
        <v>-2007</v>
      </c>
      <c r="DC155" s="94">
        <f t="shared" si="417"/>
        <v>-1692</v>
      </c>
      <c r="DD155" s="94">
        <f t="shared" si="417"/>
        <v>-1919</v>
      </c>
      <c r="DE155" s="94">
        <f t="shared" si="417"/>
        <v>-2639</v>
      </c>
      <c r="DF155" s="94">
        <f t="shared" si="417"/>
        <v>4863</v>
      </c>
      <c r="DG155" s="94">
        <f t="shared" si="417"/>
        <v>2570</v>
      </c>
      <c r="DH155" s="94">
        <f t="shared" si="417"/>
        <v>3483</v>
      </c>
      <c r="DI155" s="94">
        <f t="shared" si="417"/>
        <v>1014</v>
      </c>
      <c r="DJ155" s="94">
        <f t="shared" si="417"/>
        <v>3631</v>
      </c>
      <c r="DK155" s="94">
        <f t="shared" si="417"/>
        <v>3271</v>
      </c>
      <c r="DL155" s="94">
        <f t="shared" si="418"/>
        <v>-416</v>
      </c>
      <c r="DM155" s="94">
        <f t="shared" si="418"/>
        <v>-194</v>
      </c>
      <c r="DN155" s="94">
        <f t="shared" si="418"/>
        <v>8336</v>
      </c>
      <c r="DO155" s="94">
        <f t="shared" si="418"/>
        <v>-79</v>
      </c>
      <c r="DP155" s="94">
        <f t="shared" si="418"/>
        <v>-757</v>
      </c>
      <c r="DQ155" s="94">
        <f t="shared" si="418"/>
        <v>168</v>
      </c>
      <c r="DR155" s="94">
        <f t="shared" si="418"/>
        <v>-790</v>
      </c>
      <c r="DS155" s="94">
        <f t="shared" si="418"/>
        <v>-922</v>
      </c>
      <c r="DT155" s="94">
        <f t="shared" si="418"/>
        <v>-753</v>
      </c>
      <c r="DU155" s="94">
        <f t="shared" si="418"/>
        <v>34</v>
      </c>
      <c r="DV155" s="94">
        <f t="shared" si="419"/>
        <v>-34</v>
      </c>
      <c r="DW155" s="94">
        <f t="shared" si="419"/>
        <v>316</v>
      </c>
      <c r="DX155" s="94">
        <f t="shared" si="419"/>
        <v>-2967</v>
      </c>
      <c r="DY155" s="94">
        <f t="shared" si="419"/>
        <v>-3030</v>
      </c>
      <c r="DZ155" s="94">
        <f t="shared" si="419"/>
        <v>-2282</v>
      </c>
      <c r="EA155" s="94">
        <f t="shared" si="419"/>
        <v>224</v>
      </c>
      <c r="EB155" s="94">
        <f t="shared" si="419"/>
        <v>215</v>
      </c>
      <c r="EC155" s="94">
        <f t="shared" si="419"/>
        <v>206</v>
      </c>
      <c r="ED155" s="94">
        <f t="shared" si="419"/>
        <v>-40</v>
      </c>
      <c r="EE155" s="94">
        <f t="shared" si="419"/>
        <v>-42</v>
      </c>
      <c r="EF155" s="94">
        <f t="shared" si="420"/>
        <v>-43</v>
      </c>
      <c r="EG155" s="94">
        <f t="shared" si="420"/>
        <v>-80</v>
      </c>
      <c r="EH155" s="94">
        <f t="shared" si="420"/>
        <v>-88</v>
      </c>
      <c r="EI155" s="94">
        <f t="shared" si="420"/>
        <v>-95</v>
      </c>
      <c r="EJ155" s="94">
        <f t="shared" si="420"/>
        <v>0</v>
      </c>
      <c r="EK155" s="94">
        <f t="shared" si="420"/>
        <v>0</v>
      </c>
      <c r="EL155" s="94">
        <f t="shared" si="420"/>
        <v>0</v>
      </c>
    </row>
    <row r="156" spans="2:142" x14ac:dyDescent="0.3">
      <c r="B156" s="129" t="s">
        <v>603</v>
      </c>
      <c r="C156" s="129" t="s">
        <v>402</v>
      </c>
      <c r="D156" s="183" t="str">
        <f>IF(Menu!$D$12="PT",'Dados Financeiros'!B156,'Dados Financeiros'!C156)</f>
        <v>Fornecedores - FCX</v>
      </c>
      <c r="E156" s="4">
        <v>10012</v>
      </c>
      <c r="F156" s="4">
        <v>-4398</v>
      </c>
      <c r="G156" s="4">
        <v>1606</v>
      </c>
      <c r="H156" s="4">
        <v>654</v>
      </c>
      <c r="I156" s="4">
        <v>-646</v>
      </c>
      <c r="J156" s="4">
        <v>-2011</v>
      </c>
      <c r="K156" s="4">
        <v>4206</v>
      </c>
      <c r="L156" s="4">
        <v>-1553</v>
      </c>
      <c r="M156" s="4">
        <v>7680</v>
      </c>
      <c r="N156" s="4">
        <v>3141</v>
      </c>
      <c r="O156" s="4">
        <v>173</v>
      </c>
      <c r="P156" s="4">
        <v>13564</v>
      </c>
      <c r="Q156" s="4">
        <v>8036</v>
      </c>
      <c r="R156" s="4">
        <v>9013</v>
      </c>
      <c r="S156" s="4">
        <v>-717</v>
      </c>
      <c r="T156" s="4">
        <v>-3046</v>
      </c>
      <c r="U156" s="4">
        <v>3256</v>
      </c>
      <c r="V156" s="4">
        <v>-11932</v>
      </c>
      <c r="W156" s="4">
        <v>26073</v>
      </c>
      <c r="X156" s="4">
        <v>-6993</v>
      </c>
      <c r="Y156" s="4">
        <v>-74</v>
      </c>
      <c r="Z156" s="4">
        <v>-468</v>
      </c>
      <c r="AA156" s="4">
        <v>21364</v>
      </c>
      <c r="AB156" s="4">
        <v>19047</v>
      </c>
      <c r="AC156" s="4">
        <v>-9166</v>
      </c>
      <c r="AD156" s="4">
        <v>-5777</v>
      </c>
      <c r="AE156" s="4">
        <v>9401</v>
      </c>
      <c r="AF156" s="4">
        <v>7238</v>
      </c>
      <c r="AG156" s="4">
        <v>6963</v>
      </c>
      <c r="AH156" s="4">
        <v>9116</v>
      </c>
      <c r="AI156" s="4">
        <v>9794</v>
      </c>
      <c r="AJ156" s="4">
        <v>-23547</v>
      </c>
      <c r="AK156" s="4">
        <v>11829</v>
      </c>
      <c r="AL156" s="4">
        <v>-15854</v>
      </c>
      <c r="AM156" s="4">
        <v>3276</v>
      </c>
      <c r="AN156" s="4">
        <v>-3399</v>
      </c>
      <c r="AO156" s="4">
        <v>6641</v>
      </c>
      <c r="AP156" s="4">
        <v>-5251</v>
      </c>
      <c r="AQ156" s="4">
        <v>-4052</v>
      </c>
      <c r="AR156" s="4">
        <v>-7851</v>
      </c>
      <c r="AS156" s="4">
        <v>1304</v>
      </c>
      <c r="AT156" s="4">
        <v>-5141</v>
      </c>
      <c r="AU156" s="4">
        <v>-2811</v>
      </c>
      <c r="AV156" s="4">
        <v>-8753</v>
      </c>
      <c r="AW156" s="4">
        <v>2542</v>
      </c>
      <c r="AX156" s="4">
        <v>2223</v>
      </c>
      <c r="AY156" s="4">
        <v>-8975</v>
      </c>
      <c r="AZ156" s="4">
        <v>-247</v>
      </c>
      <c r="BA156" s="94">
        <v>-773</v>
      </c>
      <c r="BB156" s="4">
        <v>-1817</v>
      </c>
      <c r="BC156" s="4">
        <v>1573</v>
      </c>
      <c r="BD156" s="4">
        <v>-4974</v>
      </c>
      <c r="BE156" s="4">
        <v>-2299</v>
      </c>
      <c r="BF156" s="4">
        <v>1102</v>
      </c>
      <c r="BG156" s="4">
        <v>698</v>
      </c>
      <c r="BH156" s="4">
        <v>312</v>
      </c>
      <c r="BI156" s="4">
        <v>-3215</v>
      </c>
      <c r="BJ156" s="4">
        <v>-1324</v>
      </c>
      <c r="BK156" s="4">
        <v>3594</v>
      </c>
      <c r="BL156" s="4">
        <v>-2700</v>
      </c>
      <c r="BM156" s="4">
        <v>661</v>
      </c>
      <c r="BN156" s="4">
        <v>-1475</v>
      </c>
      <c r="BO156" s="4">
        <v>1375</v>
      </c>
      <c r="BP156" s="4">
        <v>1137</v>
      </c>
      <c r="BQ156" s="4">
        <v>-6179</v>
      </c>
      <c r="BR156" s="4">
        <v>2141</v>
      </c>
      <c r="BS156" s="4">
        <v>1124</v>
      </c>
      <c r="BT156" s="4">
        <v>4863</v>
      </c>
      <c r="BU156" s="4">
        <v>902</v>
      </c>
      <c r="BV156" s="4">
        <v>7205</v>
      </c>
      <c r="BW156" s="4">
        <v>843</v>
      </c>
      <c r="BX156" s="4">
        <v>7834</v>
      </c>
      <c r="BY156" s="4">
        <v>-4488</v>
      </c>
      <c r="BZ156" s="4">
        <v>-7328</v>
      </c>
      <c r="CA156" s="4">
        <v>5170</v>
      </c>
      <c r="CB156" s="4">
        <v>-6702</v>
      </c>
      <c r="CC156" s="4">
        <v>7771</v>
      </c>
      <c r="CD156" s="4">
        <v>-9774</v>
      </c>
      <c r="CE156" s="4">
        <v>-1033</v>
      </c>
      <c r="CF156" s="4">
        <v>687</v>
      </c>
      <c r="CH156" s="94">
        <f t="shared" si="415"/>
        <v>5614</v>
      </c>
      <c r="CI156" s="94">
        <f t="shared" si="415"/>
        <v>7220</v>
      </c>
      <c r="CJ156" s="94">
        <f t="shared" si="415"/>
        <v>7874</v>
      </c>
      <c r="CK156" s="94">
        <f t="shared" si="415"/>
        <v>-2657</v>
      </c>
      <c r="CL156" s="94">
        <f t="shared" si="415"/>
        <v>1549</v>
      </c>
      <c r="CM156" s="94">
        <f t="shared" si="415"/>
        <v>-4</v>
      </c>
      <c r="CN156" s="94">
        <f t="shared" si="415"/>
        <v>10821</v>
      </c>
      <c r="CO156" s="94">
        <f t="shared" si="415"/>
        <v>10994</v>
      </c>
      <c r="CP156" s="94">
        <f t="shared" si="415"/>
        <v>24558</v>
      </c>
      <c r="CQ156" s="94">
        <f t="shared" si="415"/>
        <v>17049</v>
      </c>
      <c r="CR156" s="94">
        <f t="shared" si="416"/>
        <v>16332</v>
      </c>
      <c r="CS156" s="94">
        <f t="shared" si="416"/>
        <v>13286</v>
      </c>
      <c r="CT156" s="94">
        <f t="shared" si="416"/>
        <v>-8676</v>
      </c>
      <c r="CU156" s="94">
        <f t="shared" si="416"/>
        <v>17397</v>
      </c>
      <c r="CV156" s="94">
        <f t="shared" si="416"/>
        <v>10404</v>
      </c>
      <c r="CW156" s="94">
        <f t="shared" si="416"/>
        <v>18579</v>
      </c>
      <c r="CX156" s="94">
        <f t="shared" si="416"/>
        <v>12802</v>
      </c>
      <c r="CY156" s="94">
        <f t="shared" si="416"/>
        <v>20040</v>
      </c>
      <c r="CZ156" s="94">
        <f t="shared" si="416"/>
        <v>16079</v>
      </c>
      <c r="DA156" s="94">
        <f t="shared" si="416"/>
        <v>25873</v>
      </c>
      <c r="DB156" s="94">
        <f t="shared" si="417"/>
        <v>2326</v>
      </c>
      <c r="DC156" s="94">
        <f t="shared" si="417"/>
        <v>-4025</v>
      </c>
      <c r="DD156" s="94">
        <f t="shared" si="417"/>
        <v>-749</v>
      </c>
      <c r="DE156" s="94">
        <f t="shared" si="417"/>
        <v>-4148</v>
      </c>
      <c r="DF156" s="94">
        <f t="shared" si="417"/>
        <v>1390</v>
      </c>
      <c r="DG156" s="94">
        <f t="shared" si="417"/>
        <v>-2662</v>
      </c>
      <c r="DH156" s="94">
        <f t="shared" si="417"/>
        <v>-10513</v>
      </c>
      <c r="DI156" s="94">
        <f t="shared" si="417"/>
        <v>-3837</v>
      </c>
      <c r="DJ156" s="94">
        <f t="shared" si="417"/>
        <v>-6648</v>
      </c>
      <c r="DK156" s="94">
        <f t="shared" si="417"/>
        <v>-15401</v>
      </c>
      <c r="DL156" s="94">
        <f t="shared" si="418"/>
        <v>4765</v>
      </c>
      <c r="DM156" s="94">
        <f t="shared" si="418"/>
        <v>-4210</v>
      </c>
      <c r="DN156" s="94">
        <f t="shared" si="418"/>
        <v>-4457</v>
      </c>
      <c r="DO156" s="94">
        <f t="shared" si="418"/>
        <v>-2590</v>
      </c>
      <c r="DP156" s="94">
        <f t="shared" si="418"/>
        <v>-1017</v>
      </c>
      <c r="DQ156" s="94">
        <f t="shared" si="418"/>
        <v>-5991</v>
      </c>
      <c r="DR156" s="94">
        <f t="shared" si="418"/>
        <v>-1197</v>
      </c>
      <c r="DS156" s="94">
        <f t="shared" si="418"/>
        <v>-499</v>
      </c>
      <c r="DT156" s="94">
        <f t="shared" si="418"/>
        <v>-187</v>
      </c>
      <c r="DU156" s="94">
        <f t="shared" si="418"/>
        <v>-4539</v>
      </c>
      <c r="DV156" s="94">
        <f t="shared" si="419"/>
        <v>-945</v>
      </c>
      <c r="DW156" s="94">
        <f t="shared" si="419"/>
        <v>-3645</v>
      </c>
      <c r="DX156" s="94">
        <f t="shared" si="419"/>
        <v>-814</v>
      </c>
      <c r="DY156" s="94">
        <f t="shared" si="419"/>
        <v>561</v>
      </c>
      <c r="DZ156" s="94">
        <f t="shared" si="419"/>
        <v>1698</v>
      </c>
      <c r="EA156" s="94">
        <f t="shared" si="419"/>
        <v>-4038</v>
      </c>
      <c r="EB156" s="94">
        <f t="shared" si="419"/>
        <v>-2914</v>
      </c>
      <c r="EC156" s="94">
        <f t="shared" si="419"/>
        <v>1949</v>
      </c>
      <c r="ED156" s="94">
        <f t="shared" si="419"/>
        <v>8107</v>
      </c>
      <c r="EE156" s="94">
        <f t="shared" si="419"/>
        <v>8950</v>
      </c>
      <c r="EF156" s="94">
        <f t="shared" si="420"/>
        <v>16784</v>
      </c>
      <c r="EG156" s="94">
        <f t="shared" si="420"/>
        <v>-11816</v>
      </c>
      <c r="EH156" s="94">
        <f t="shared" si="420"/>
        <v>-6646</v>
      </c>
      <c r="EI156" s="94">
        <f t="shared" si="420"/>
        <v>-13348</v>
      </c>
      <c r="EJ156" s="94">
        <f t="shared" si="420"/>
        <v>-2003</v>
      </c>
      <c r="EK156" s="94">
        <f t="shared" si="420"/>
        <v>-3036</v>
      </c>
      <c r="EL156" s="94">
        <f t="shared" si="420"/>
        <v>-2349</v>
      </c>
    </row>
    <row r="157" spans="2:142" x14ac:dyDescent="0.3">
      <c r="B157" s="129" t="s">
        <v>604</v>
      </c>
      <c r="C157" s="129" t="s">
        <v>476</v>
      </c>
      <c r="D157" s="183" t="str">
        <f>IF(Menu!$D$12="PT",'Dados Financeiros'!B157,'Dados Financeiros'!C157)</f>
        <v>Impostos, contribuições e salários - FCX</v>
      </c>
      <c r="E157" s="4">
        <v>753</v>
      </c>
      <c r="F157" s="4">
        <v>561</v>
      </c>
      <c r="G157" s="4">
        <v>1257</v>
      </c>
      <c r="H157" s="4">
        <v>984</v>
      </c>
      <c r="I157" s="4">
        <v>468</v>
      </c>
      <c r="J157" s="4">
        <v>432</v>
      </c>
      <c r="K157" s="4">
        <v>1223</v>
      </c>
      <c r="L157" s="4">
        <v>3332</v>
      </c>
      <c r="M157" s="4">
        <v>952</v>
      </c>
      <c r="N157" s="4">
        <v>-2551</v>
      </c>
      <c r="O157" s="4">
        <v>-546</v>
      </c>
      <c r="P157" s="4">
        <v>2916</v>
      </c>
      <c r="Q157" s="4">
        <v>1449</v>
      </c>
      <c r="R157" s="4">
        <v>4404</v>
      </c>
      <c r="S157" s="4">
        <v>4337</v>
      </c>
      <c r="T157" s="4">
        <v>5748</v>
      </c>
      <c r="U157" s="4">
        <v>1728</v>
      </c>
      <c r="V157" s="4">
        <v>862</v>
      </c>
      <c r="W157" s="4">
        <v>4121</v>
      </c>
      <c r="X157" s="4">
        <v>-2414</v>
      </c>
      <c r="Y157" s="4">
        <v>3195</v>
      </c>
      <c r="Z157" s="4">
        <v>3564</v>
      </c>
      <c r="AA157" s="4">
        <v>3038</v>
      </c>
      <c r="AB157" s="4">
        <v>7219</v>
      </c>
      <c r="AC157" s="4">
        <v>3106</v>
      </c>
      <c r="AD157" s="4">
        <v>5462</v>
      </c>
      <c r="AE157" s="4">
        <v>-6522</v>
      </c>
      <c r="AF157" s="4">
        <v>-6363</v>
      </c>
      <c r="AG157" s="4">
        <v>3648</v>
      </c>
      <c r="AH157" s="4">
        <v>6422</v>
      </c>
      <c r="AI157" s="4">
        <v>10057</v>
      </c>
      <c r="AJ157" s="4">
        <v>-5560</v>
      </c>
      <c r="AK157" s="4">
        <v>5597</v>
      </c>
      <c r="AL157" s="4">
        <v>-3829</v>
      </c>
      <c r="AM157" s="4">
        <v>8773</v>
      </c>
      <c r="AN157" s="4">
        <v>-13369</v>
      </c>
      <c r="AO157" s="4">
        <v>1373</v>
      </c>
      <c r="AP157" s="4">
        <v>-3178</v>
      </c>
      <c r="AQ157" s="4">
        <v>7039</v>
      </c>
      <c r="AR157" s="4">
        <v>-7244</v>
      </c>
      <c r="AS157" s="4">
        <v>-1628</v>
      </c>
      <c r="AT157" s="4">
        <v>-3940</v>
      </c>
      <c r="AU157" s="4">
        <v>593</v>
      </c>
      <c r="AV157" s="4">
        <v>-10255</v>
      </c>
      <c r="AW157" s="4">
        <v>-1335</v>
      </c>
      <c r="AX157" s="4">
        <v>-79</v>
      </c>
      <c r="AY157" s="4">
        <v>-1606</v>
      </c>
      <c r="AZ157" s="4">
        <v>-2921</v>
      </c>
      <c r="BA157" s="94">
        <v>1283</v>
      </c>
      <c r="BB157" s="4">
        <v>324</v>
      </c>
      <c r="BC157" s="4">
        <v>-191</v>
      </c>
      <c r="BD157" s="4">
        <v>-2868</v>
      </c>
      <c r="BE157" s="4">
        <v>1277</v>
      </c>
      <c r="BF157" s="4">
        <v>-3137</v>
      </c>
      <c r="BG157" s="4">
        <v>686</v>
      </c>
      <c r="BH157" s="4">
        <v>-1465</v>
      </c>
      <c r="BI157" s="4">
        <v>-3683</v>
      </c>
      <c r="BJ157" s="4">
        <v>3122</v>
      </c>
      <c r="BK157" s="4">
        <v>473</v>
      </c>
      <c r="BL157" s="4">
        <v>-3781</v>
      </c>
      <c r="BM157" s="4">
        <v>-50</v>
      </c>
      <c r="BN157" s="4">
        <v>-2142</v>
      </c>
      <c r="BO157" s="4">
        <v>967</v>
      </c>
      <c r="BP157" s="4">
        <v>-5397</v>
      </c>
      <c r="BQ157" s="4">
        <v>-8203</v>
      </c>
      <c r="BR157" s="4">
        <v>-1232</v>
      </c>
      <c r="BS157" s="4">
        <v>677</v>
      </c>
      <c r="BT157" s="4">
        <v>-2274</v>
      </c>
      <c r="BU157" s="4">
        <v>-2038</v>
      </c>
      <c r="BV157" s="4">
        <v>-4454</v>
      </c>
      <c r="BW157" s="4">
        <v>590</v>
      </c>
      <c r="BX157" s="4">
        <v>1355</v>
      </c>
      <c r="BY157" s="4">
        <v>-2736</v>
      </c>
      <c r="BZ157" s="4">
        <v>993</v>
      </c>
      <c r="CA157" s="4">
        <v>550</v>
      </c>
      <c r="CB157" s="4">
        <v>-5934</v>
      </c>
      <c r="CC157" s="4">
        <v>2527</v>
      </c>
      <c r="CD157" s="4">
        <v>-9831</v>
      </c>
      <c r="CE157" s="4">
        <v>1365</v>
      </c>
      <c r="CF157" s="4">
        <v>563</v>
      </c>
      <c r="CH157" s="94">
        <f t="shared" si="415"/>
        <v>1314</v>
      </c>
      <c r="CI157" s="94">
        <f t="shared" si="415"/>
        <v>2571</v>
      </c>
      <c r="CJ157" s="94">
        <f t="shared" si="415"/>
        <v>3555</v>
      </c>
      <c r="CK157" s="94">
        <f t="shared" si="415"/>
        <v>900</v>
      </c>
      <c r="CL157" s="94">
        <f t="shared" si="415"/>
        <v>2123</v>
      </c>
      <c r="CM157" s="94">
        <f t="shared" si="415"/>
        <v>5455</v>
      </c>
      <c r="CN157" s="94">
        <f t="shared" si="415"/>
        <v>-1599</v>
      </c>
      <c r="CO157" s="94">
        <f t="shared" si="415"/>
        <v>-2145</v>
      </c>
      <c r="CP157" s="94">
        <f t="shared" si="415"/>
        <v>771</v>
      </c>
      <c r="CQ157" s="94">
        <f t="shared" si="415"/>
        <v>5853</v>
      </c>
      <c r="CR157" s="94">
        <f t="shared" si="416"/>
        <v>10190</v>
      </c>
      <c r="CS157" s="94">
        <f t="shared" si="416"/>
        <v>15938</v>
      </c>
      <c r="CT157" s="94">
        <f t="shared" si="416"/>
        <v>2590</v>
      </c>
      <c r="CU157" s="94">
        <f t="shared" si="416"/>
        <v>6711</v>
      </c>
      <c r="CV157" s="94">
        <f t="shared" si="416"/>
        <v>4297</v>
      </c>
      <c r="CW157" s="94">
        <f t="shared" si="416"/>
        <v>10783</v>
      </c>
      <c r="CX157" s="94">
        <f t="shared" si="416"/>
        <v>16245</v>
      </c>
      <c r="CY157" s="94">
        <f t="shared" si="416"/>
        <v>9882</v>
      </c>
      <c r="CZ157" s="94">
        <f t="shared" si="416"/>
        <v>10070</v>
      </c>
      <c r="DA157" s="94">
        <f t="shared" si="416"/>
        <v>20127</v>
      </c>
      <c r="DB157" s="94">
        <f t="shared" si="417"/>
        <v>14567</v>
      </c>
      <c r="DC157" s="94">
        <f t="shared" si="417"/>
        <v>1768</v>
      </c>
      <c r="DD157" s="94">
        <f t="shared" si="417"/>
        <v>10541</v>
      </c>
      <c r="DE157" s="94">
        <f t="shared" si="417"/>
        <v>-2828</v>
      </c>
      <c r="DF157" s="94">
        <f t="shared" si="417"/>
        <v>-1805</v>
      </c>
      <c r="DG157" s="94">
        <f t="shared" si="417"/>
        <v>5234</v>
      </c>
      <c r="DH157" s="94">
        <f t="shared" si="417"/>
        <v>-2010</v>
      </c>
      <c r="DI157" s="94">
        <f t="shared" si="417"/>
        <v>-5568</v>
      </c>
      <c r="DJ157" s="94">
        <f t="shared" si="417"/>
        <v>-4975</v>
      </c>
      <c r="DK157" s="94">
        <f t="shared" si="417"/>
        <v>-15230</v>
      </c>
      <c r="DL157" s="94">
        <f t="shared" si="418"/>
        <v>-1414</v>
      </c>
      <c r="DM157" s="94">
        <f t="shared" si="418"/>
        <v>-3020</v>
      </c>
      <c r="DN157" s="94">
        <f t="shared" si="418"/>
        <v>-5941</v>
      </c>
      <c r="DO157" s="94">
        <f t="shared" si="418"/>
        <v>1607</v>
      </c>
      <c r="DP157" s="94">
        <f t="shared" si="418"/>
        <v>1416</v>
      </c>
      <c r="DQ157" s="94">
        <f t="shared" si="418"/>
        <v>-1452</v>
      </c>
      <c r="DR157" s="94">
        <f t="shared" si="418"/>
        <v>-1860</v>
      </c>
      <c r="DS157" s="94">
        <f t="shared" si="418"/>
        <v>-1174</v>
      </c>
      <c r="DT157" s="94">
        <f t="shared" si="418"/>
        <v>-2639</v>
      </c>
      <c r="DU157" s="94">
        <f t="shared" si="418"/>
        <v>-561</v>
      </c>
      <c r="DV157" s="94">
        <f t="shared" si="419"/>
        <v>-88</v>
      </c>
      <c r="DW157" s="94">
        <f t="shared" si="419"/>
        <v>-3869</v>
      </c>
      <c r="DX157" s="94">
        <f t="shared" si="419"/>
        <v>-2192</v>
      </c>
      <c r="DY157" s="94">
        <f t="shared" si="419"/>
        <v>-1225</v>
      </c>
      <c r="DZ157" s="94">
        <f t="shared" si="419"/>
        <v>-6622</v>
      </c>
      <c r="EA157" s="94">
        <f t="shared" si="419"/>
        <v>-9435</v>
      </c>
      <c r="EB157" s="94">
        <f t="shared" si="419"/>
        <v>-8758</v>
      </c>
      <c r="EC157" s="94">
        <f t="shared" si="419"/>
        <v>-11032</v>
      </c>
      <c r="ED157" s="94">
        <f t="shared" si="419"/>
        <v>-6492</v>
      </c>
      <c r="EE157" s="94">
        <f t="shared" si="419"/>
        <v>-5902</v>
      </c>
      <c r="EF157" s="94">
        <f t="shared" si="420"/>
        <v>-4547</v>
      </c>
      <c r="EG157" s="94">
        <f t="shared" si="420"/>
        <v>-1743</v>
      </c>
      <c r="EH157" s="94">
        <f t="shared" si="420"/>
        <v>-1193</v>
      </c>
      <c r="EI157" s="94">
        <f t="shared" si="420"/>
        <v>-7127</v>
      </c>
      <c r="EJ157" s="94">
        <f t="shared" si="420"/>
        <v>-7304</v>
      </c>
      <c r="EK157" s="94">
        <f t="shared" si="420"/>
        <v>-5939</v>
      </c>
      <c r="EL157" s="94">
        <f t="shared" si="420"/>
        <v>-5376</v>
      </c>
    </row>
    <row r="158" spans="2:142" x14ac:dyDescent="0.3">
      <c r="B158" s="129" t="s">
        <v>605</v>
      </c>
      <c r="C158" s="129" t="s">
        <v>477</v>
      </c>
      <c r="D158" s="183" t="str">
        <f>IF(Menu!$D$12="PT",'Dados Financeiros'!B158,'Dados Financeiros'!C158)</f>
        <v>Imposto de renda e contribuição social corrente - FCX</v>
      </c>
      <c r="E158" s="4">
        <v>-315</v>
      </c>
      <c r="F158" s="4">
        <v>-10</v>
      </c>
      <c r="G158" s="4">
        <v>433</v>
      </c>
      <c r="H158" s="4">
        <v>1705</v>
      </c>
      <c r="I158" s="4">
        <v>1996</v>
      </c>
      <c r="J158" s="4">
        <v>767</v>
      </c>
      <c r="K158" s="4">
        <v>-2833</v>
      </c>
      <c r="L158" s="4">
        <v>-478</v>
      </c>
      <c r="M158" s="4">
        <v>32</v>
      </c>
      <c r="N158" s="4">
        <v>481</v>
      </c>
      <c r="O158" s="4">
        <v>-27</v>
      </c>
      <c r="P158" s="4">
        <v>638</v>
      </c>
      <c r="Q158" s="4">
        <v>-913</v>
      </c>
      <c r="R158" s="4">
        <v>817</v>
      </c>
      <c r="S158" s="4">
        <v>812</v>
      </c>
      <c r="T158" s="4">
        <v>1006</v>
      </c>
      <c r="U158" s="4">
        <v>-197</v>
      </c>
      <c r="V158" s="4">
        <v>-402</v>
      </c>
      <c r="W158" s="4">
        <v>45</v>
      </c>
      <c r="X158" s="4">
        <v>95</v>
      </c>
      <c r="Y158" s="4">
        <v>-1238</v>
      </c>
      <c r="Z158" s="4">
        <v>-665</v>
      </c>
      <c r="AA158" s="4">
        <v>-474</v>
      </c>
      <c r="AB158" s="4">
        <v>994</v>
      </c>
      <c r="AC158" s="4">
        <v>1214</v>
      </c>
      <c r="AD158" s="4">
        <v>-238</v>
      </c>
      <c r="AE158" s="4">
        <v>1455</v>
      </c>
      <c r="AF158" s="4">
        <v>1970</v>
      </c>
      <c r="AG158" s="4">
        <v>-295</v>
      </c>
      <c r="AH158" s="4">
        <v>817</v>
      </c>
      <c r="AI158" s="4">
        <v>-540</v>
      </c>
      <c r="AJ158" s="4">
        <v>772</v>
      </c>
      <c r="AK158" s="4">
        <v>-8936</v>
      </c>
      <c r="AL158" s="4">
        <v>-5595</v>
      </c>
      <c r="AM158" s="4">
        <v>-7812</v>
      </c>
      <c r="AN158" s="4">
        <v>-10474</v>
      </c>
      <c r="AO158" s="4">
        <v>-10780</v>
      </c>
      <c r="AP158" s="4">
        <v>-9876</v>
      </c>
      <c r="AQ158" s="4">
        <v>-8617</v>
      </c>
      <c r="AR158" s="4">
        <v>-4861</v>
      </c>
      <c r="AS158" s="4">
        <v>-7564</v>
      </c>
      <c r="AT158" s="4">
        <v>-3484</v>
      </c>
      <c r="AU158" s="4">
        <v>-3626</v>
      </c>
      <c r="AV158" s="4">
        <v>-2760</v>
      </c>
      <c r="AW158" s="4">
        <v>-3659</v>
      </c>
      <c r="AX158" s="4">
        <v>-3190</v>
      </c>
      <c r="AY158" s="4">
        <v>-3304</v>
      </c>
      <c r="AZ158" s="4">
        <v>-2798</v>
      </c>
      <c r="BA158" s="94">
        <v>-2676</v>
      </c>
      <c r="BB158" s="4">
        <v>-2364</v>
      </c>
      <c r="BC158" s="4">
        <v>-2648</v>
      </c>
      <c r="BD158" s="4">
        <v>-1376</v>
      </c>
      <c r="BE158" s="4">
        <v>-2422</v>
      </c>
      <c r="BF158" s="4">
        <v>-1512</v>
      </c>
      <c r="BG158" s="4">
        <v>-859</v>
      </c>
      <c r="BH158" s="4">
        <v>-1259</v>
      </c>
      <c r="BI158" s="4">
        <v>-1387</v>
      </c>
      <c r="BJ158" s="4">
        <v>-543</v>
      </c>
      <c r="BK158" s="4">
        <v>-479</v>
      </c>
      <c r="BL158" s="4">
        <v>-549</v>
      </c>
      <c r="BM158" s="4">
        <v>-2033</v>
      </c>
      <c r="BN158" s="4">
        <v>-698</v>
      </c>
      <c r="BO158" s="4">
        <v>-2773</v>
      </c>
      <c r="BP158" s="4">
        <v>-1863</v>
      </c>
      <c r="BQ158" s="4">
        <v>-754</v>
      </c>
      <c r="BR158" s="4">
        <v>-999</v>
      </c>
      <c r="BS158" s="4">
        <v>-1175</v>
      </c>
      <c r="BT158" s="4">
        <v>-2013</v>
      </c>
      <c r="BU158" s="4">
        <v>-2666</v>
      </c>
      <c r="BV158" s="4">
        <v>-2992</v>
      </c>
      <c r="BW158" s="4">
        <v>-2375</v>
      </c>
      <c r="BX158" s="4">
        <v>-2342</v>
      </c>
      <c r="BY158" s="4">
        <v>-1741</v>
      </c>
      <c r="BZ158" s="4">
        <v>-3933</v>
      </c>
      <c r="CA158" s="4">
        <v>-2923</v>
      </c>
      <c r="CB158" s="4">
        <v>-5387</v>
      </c>
      <c r="CC158" s="4">
        <v>-2664</v>
      </c>
      <c r="CD158" s="4">
        <v>-2167</v>
      </c>
      <c r="CE158" s="4">
        <v>-3240</v>
      </c>
      <c r="CF158" s="4">
        <v>-1484</v>
      </c>
      <c r="CH158" s="94">
        <f t="shared" ref="CH158:CQ167" si="421">SUMIF($B$1:$CG$1,"&lt;="&amp;VALUE(RIGHT(CH$2,2)&amp;IF(LEFT(CH$2,2)="1S",2,IF(LEFT(CH$2,2)="9M",3,4))),$B158:$CG158)-
SUMIF($B$1:$CG$1,"&lt;"&amp;VALUE(RIGHT(CH$2,2))&amp;"0",$B158:$CG158)</f>
        <v>-325</v>
      </c>
      <c r="CI158" s="94">
        <f t="shared" si="421"/>
        <v>108</v>
      </c>
      <c r="CJ158" s="94">
        <f t="shared" si="421"/>
        <v>1813</v>
      </c>
      <c r="CK158" s="94">
        <f t="shared" si="421"/>
        <v>2763</v>
      </c>
      <c r="CL158" s="94">
        <f t="shared" si="421"/>
        <v>-70</v>
      </c>
      <c r="CM158" s="94">
        <f t="shared" si="421"/>
        <v>-548</v>
      </c>
      <c r="CN158" s="94">
        <f t="shared" si="421"/>
        <v>513</v>
      </c>
      <c r="CO158" s="94">
        <f t="shared" si="421"/>
        <v>486</v>
      </c>
      <c r="CP158" s="94">
        <f t="shared" si="421"/>
        <v>1124</v>
      </c>
      <c r="CQ158" s="94">
        <f t="shared" si="421"/>
        <v>-96</v>
      </c>
      <c r="CR158" s="94">
        <f t="shared" ref="CR158:DA167" si="422">SUMIF($B$1:$CG$1,"&lt;="&amp;VALUE(RIGHT(CR$2,2)&amp;IF(LEFT(CR$2,2)="1S",2,IF(LEFT(CR$2,2)="9M",3,4))),$B158:$CG158)-
SUMIF($B$1:$CG$1,"&lt;"&amp;VALUE(RIGHT(CR$2,2))&amp;"0",$B158:$CG158)</f>
        <v>716</v>
      </c>
      <c r="CS158" s="94">
        <f t="shared" si="422"/>
        <v>1722</v>
      </c>
      <c r="CT158" s="94">
        <f t="shared" si="422"/>
        <v>-599</v>
      </c>
      <c r="CU158" s="94">
        <f t="shared" si="422"/>
        <v>-554</v>
      </c>
      <c r="CV158" s="94">
        <f t="shared" si="422"/>
        <v>-459</v>
      </c>
      <c r="CW158" s="94">
        <f t="shared" si="422"/>
        <v>329</v>
      </c>
      <c r="CX158" s="94">
        <f t="shared" si="422"/>
        <v>91</v>
      </c>
      <c r="CY158" s="94">
        <f t="shared" si="422"/>
        <v>2061</v>
      </c>
      <c r="CZ158" s="94">
        <f t="shared" si="422"/>
        <v>522</v>
      </c>
      <c r="DA158" s="94">
        <f t="shared" si="422"/>
        <v>-18</v>
      </c>
      <c r="DB158" s="94">
        <f t="shared" ref="DB158:DK167" si="423">SUMIF($B$1:$CG$1,"&lt;="&amp;VALUE(RIGHT(DB$2,2)&amp;IF(LEFT(DB$2,2)="1S",2,IF(LEFT(DB$2,2)="9M",3,4))),$B158:$CG158)-
SUMIF($B$1:$CG$1,"&lt;"&amp;VALUE(RIGHT(DB$2,2))&amp;"0",$B158:$CG158)</f>
        <v>754</v>
      </c>
      <c r="DC158" s="94">
        <f t="shared" si="423"/>
        <v>-14531</v>
      </c>
      <c r="DD158" s="94">
        <f t="shared" si="423"/>
        <v>-22343</v>
      </c>
      <c r="DE158" s="94">
        <f t="shared" si="423"/>
        <v>-32817</v>
      </c>
      <c r="DF158" s="94">
        <f t="shared" si="423"/>
        <v>-20656</v>
      </c>
      <c r="DG158" s="94">
        <f t="shared" si="423"/>
        <v>-29273</v>
      </c>
      <c r="DH158" s="94">
        <f t="shared" si="423"/>
        <v>-34134</v>
      </c>
      <c r="DI158" s="94">
        <f t="shared" si="423"/>
        <v>-11048</v>
      </c>
      <c r="DJ158" s="94">
        <f t="shared" si="423"/>
        <v>-14674</v>
      </c>
      <c r="DK158" s="94">
        <f t="shared" si="423"/>
        <v>-17434</v>
      </c>
      <c r="DL158" s="94">
        <f t="shared" ref="DL158:DU167" si="424">SUMIF($B$1:$CG$1,"&lt;="&amp;VALUE(RIGHT(DL$2,2)&amp;IF(LEFT(DL$2,2)="1S",2,IF(LEFT(DL$2,2)="9M",3,4))),$B158:$CG158)-
SUMIF($B$1:$CG$1,"&lt;"&amp;VALUE(RIGHT(DL$2,2))&amp;"0",$B158:$CG158)</f>
        <v>-6849</v>
      </c>
      <c r="DM158" s="94">
        <f t="shared" si="424"/>
        <v>-10153</v>
      </c>
      <c r="DN158" s="94">
        <f t="shared" si="424"/>
        <v>-12951</v>
      </c>
      <c r="DO158" s="94">
        <f t="shared" si="424"/>
        <v>-5040</v>
      </c>
      <c r="DP158" s="94">
        <f t="shared" si="424"/>
        <v>-7688</v>
      </c>
      <c r="DQ158" s="94">
        <f t="shared" si="424"/>
        <v>-9064</v>
      </c>
      <c r="DR158" s="94">
        <f t="shared" si="424"/>
        <v>-3934</v>
      </c>
      <c r="DS158" s="94">
        <f t="shared" si="424"/>
        <v>-4793</v>
      </c>
      <c r="DT158" s="94">
        <f t="shared" si="424"/>
        <v>-6052</v>
      </c>
      <c r="DU158" s="94">
        <f t="shared" si="424"/>
        <v>-1930</v>
      </c>
      <c r="DV158" s="94">
        <f t="shared" ref="DV158:EE167" si="425">SUMIF($B$1:$CG$1,"&lt;="&amp;VALUE(RIGHT(DV$2,2)&amp;IF(LEFT(DV$2,2)="1S",2,IF(LEFT(DV$2,2)="9M",3,4))),$B158:$CG158)-
SUMIF($B$1:$CG$1,"&lt;"&amp;VALUE(RIGHT(DV$2,2))&amp;"0",$B158:$CG158)</f>
        <v>-2409</v>
      </c>
      <c r="DW158" s="94">
        <f t="shared" si="425"/>
        <v>-2958</v>
      </c>
      <c r="DX158" s="94">
        <f t="shared" si="425"/>
        <v>-2731</v>
      </c>
      <c r="DY158" s="94">
        <f t="shared" si="425"/>
        <v>-5504</v>
      </c>
      <c r="DZ158" s="94">
        <f t="shared" si="425"/>
        <v>-7367</v>
      </c>
      <c r="EA158" s="94">
        <f t="shared" si="425"/>
        <v>-1753</v>
      </c>
      <c r="EB158" s="94">
        <f t="shared" si="425"/>
        <v>-2928</v>
      </c>
      <c r="EC158" s="94">
        <f t="shared" si="425"/>
        <v>-4941</v>
      </c>
      <c r="ED158" s="94">
        <f t="shared" si="425"/>
        <v>-5658</v>
      </c>
      <c r="EE158" s="94">
        <f t="shared" si="425"/>
        <v>-8033</v>
      </c>
      <c r="EF158" s="94">
        <f t="shared" ref="EF158:EL167" si="426">SUMIF($B$1:$CG$1,"&lt;="&amp;VALUE(RIGHT(EF$2,2)&amp;IF(LEFT(EF$2,2)="1S",2,IF(LEFT(EF$2,2)="9M",3,4))),$B158:$CG158)-
SUMIF($B$1:$CG$1,"&lt;"&amp;VALUE(RIGHT(EF$2,2))&amp;"0",$B158:$CG158)</f>
        <v>-10375</v>
      </c>
      <c r="EG158" s="94">
        <f t="shared" si="426"/>
        <v>-5674</v>
      </c>
      <c r="EH158" s="94">
        <f t="shared" si="426"/>
        <v>-8597</v>
      </c>
      <c r="EI158" s="94">
        <f t="shared" si="426"/>
        <v>-13984</v>
      </c>
      <c r="EJ158" s="94">
        <f t="shared" si="426"/>
        <v>-4831</v>
      </c>
      <c r="EK158" s="94">
        <f t="shared" si="426"/>
        <v>-8071</v>
      </c>
      <c r="EL158" s="94">
        <f t="shared" si="426"/>
        <v>-9555</v>
      </c>
    </row>
    <row r="159" spans="2:142" x14ac:dyDescent="0.3">
      <c r="B159" s="129" t="s">
        <v>606</v>
      </c>
      <c r="C159" s="129" t="s">
        <v>407</v>
      </c>
      <c r="D159" s="183" t="str">
        <f>IF(Menu!$D$12="PT",'Dados Financeiros'!B159,'Dados Financeiros'!C159)</f>
        <v>Adiantamento de clientes - FCX</v>
      </c>
      <c r="E159" s="4">
        <v>-4323</v>
      </c>
      <c r="F159" s="4">
        <v>-4178</v>
      </c>
      <c r="G159" s="4">
        <v>262</v>
      </c>
      <c r="H159" s="4">
        <v>6746</v>
      </c>
      <c r="I159" s="4">
        <v>447</v>
      </c>
      <c r="J159" s="4">
        <v>904</v>
      </c>
      <c r="K159" s="4">
        <v>5210</v>
      </c>
      <c r="L159" s="4">
        <v>19169</v>
      </c>
      <c r="M159" s="4">
        <v>9281</v>
      </c>
      <c r="N159" s="4">
        <v>7088</v>
      </c>
      <c r="O159" s="4">
        <v>4260</v>
      </c>
      <c r="P159" s="4">
        <v>-4707</v>
      </c>
      <c r="Q159" s="4">
        <v>2760</v>
      </c>
      <c r="R159" s="4">
        <v>20127</v>
      </c>
      <c r="S159" s="4">
        <v>176388</v>
      </c>
      <c r="T159" s="4">
        <v>-61258</v>
      </c>
      <c r="U159" s="4">
        <v>2364</v>
      </c>
      <c r="V159" s="4">
        <v>73442</v>
      </c>
      <c r="W159" s="4">
        <v>19283</v>
      </c>
      <c r="X159" s="4">
        <v>75065</v>
      </c>
      <c r="Y159" s="4">
        <v>4854</v>
      </c>
      <c r="Z159" s="4">
        <v>-1012</v>
      </c>
      <c r="AA159" s="4">
        <v>-15618</v>
      </c>
      <c r="AB159" s="4">
        <v>-6719</v>
      </c>
      <c r="AC159" s="4">
        <v>21714</v>
      </c>
      <c r="AD159" s="4">
        <v>8631</v>
      </c>
      <c r="AE159" s="4">
        <v>4178</v>
      </c>
      <c r="AF159" s="4">
        <v>2471</v>
      </c>
      <c r="AG159" s="4">
        <v>17055</v>
      </c>
      <c r="AH159" s="4">
        <v>-8043</v>
      </c>
      <c r="AI159" s="4">
        <v>-18331</v>
      </c>
      <c r="AJ159" s="4">
        <v>-40051</v>
      </c>
      <c r="AK159" s="4">
        <v>-17101</v>
      </c>
      <c r="AL159" s="4">
        <v>-14351</v>
      </c>
      <c r="AM159" s="4">
        <v>-20545</v>
      </c>
      <c r="AN159" s="4">
        <v>-39141</v>
      </c>
      <c r="AO159" s="4">
        <v>-14823</v>
      </c>
      <c r="AP159" s="4">
        <v>-23939</v>
      </c>
      <c r="AQ159" s="4">
        <v>-24364</v>
      </c>
      <c r="AR159" s="4">
        <v>1531</v>
      </c>
      <c r="AS159" s="4">
        <v>-10928</v>
      </c>
      <c r="AT159" s="4">
        <v>-12263</v>
      </c>
      <c r="AU159" s="4">
        <v>3080</v>
      </c>
      <c r="AV159" s="4">
        <v>-7709</v>
      </c>
      <c r="AW159" s="4">
        <v>-5542</v>
      </c>
      <c r="AX159" s="4">
        <v>-7656</v>
      </c>
      <c r="AY159" s="4">
        <v>10320</v>
      </c>
      <c r="AZ159" s="4">
        <v>-5407</v>
      </c>
      <c r="BA159" s="94">
        <v>10924</v>
      </c>
      <c r="BB159" s="4">
        <v>3625</v>
      </c>
      <c r="BC159" s="4">
        <v>-6821</v>
      </c>
      <c r="BD159" s="4">
        <v>-6164</v>
      </c>
      <c r="BE159" s="4">
        <v>-4940</v>
      </c>
      <c r="BF159" s="4">
        <v>4173</v>
      </c>
      <c r="BG159" s="4">
        <v>-5355</v>
      </c>
      <c r="BH159" s="4">
        <v>640</v>
      </c>
      <c r="BI159" s="4">
        <v>0</v>
      </c>
      <c r="BJ159" s="4">
        <v>0</v>
      </c>
      <c r="BK159" s="4">
        <v>0</v>
      </c>
      <c r="BL159" s="4">
        <v>794</v>
      </c>
      <c r="BM159" s="4">
        <v>5015</v>
      </c>
      <c r="BN159" s="4">
        <v>-727</v>
      </c>
      <c r="BO159" s="4">
        <v>12999</v>
      </c>
      <c r="BP159" s="4">
        <v>8830</v>
      </c>
      <c r="BQ159" s="4">
        <v>8082</v>
      </c>
      <c r="BR159" s="4">
        <v>6010</v>
      </c>
      <c r="BS159" s="4">
        <v>1446</v>
      </c>
      <c r="BT159" s="4">
        <v>28399</v>
      </c>
      <c r="BU159" s="4">
        <v>16807</v>
      </c>
      <c r="BV159" s="4">
        <v>29316</v>
      </c>
      <c r="BW159" s="4">
        <v>1284</v>
      </c>
      <c r="BX159" s="4">
        <v>-91251</v>
      </c>
      <c r="BY159" s="4">
        <v>44065</v>
      </c>
      <c r="BZ159" s="4">
        <v>-23870</v>
      </c>
      <c r="CA159" s="4">
        <v>16963</v>
      </c>
      <c r="CB159" s="4">
        <v>-38595</v>
      </c>
      <c r="CC159" s="4">
        <v>2642</v>
      </c>
      <c r="CD159" s="4">
        <v>-4099</v>
      </c>
      <c r="CE159" s="4">
        <v>-26477</v>
      </c>
      <c r="CF159" s="4">
        <v>-13416</v>
      </c>
      <c r="CH159" s="94">
        <f t="shared" si="421"/>
        <v>-8501</v>
      </c>
      <c r="CI159" s="94">
        <f t="shared" si="421"/>
        <v>-8239</v>
      </c>
      <c r="CJ159" s="94">
        <f t="shared" si="421"/>
        <v>-1493</v>
      </c>
      <c r="CK159" s="94">
        <f t="shared" si="421"/>
        <v>1351</v>
      </c>
      <c r="CL159" s="94">
        <f t="shared" si="421"/>
        <v>6561</v>
      </c>
      <c r="CM159" s="94">
        <f t="shared" si="421"/>
        <v>25730</v>
      </c>
      <c r="CN159" s="94">
        <f t="shared" si="421"/>
        <v>16369</v>
      </c>
      <c r="CO159" s="94">
        <f t="shared" si="421"/>
        <v>20629</v>
      </c>
      <c r="CP159" s="94">
        <f t="shared" si="421"/>
        <v>15922</v>
      </c>
      <c r="CQ159" s="94">
        <f t="shared" si="421"/>
        <v>22887</v>
      </c>
      <c r="CR159" s="94">
        <f t="shared" si="422"/>
        <v>199275</v>
      </c>
      <c r="CS159" s="94">
        <f t="shared" si="422"/>
        <v>138017</v>
      </c>
      <c r="CT159" s="94">
        <f t="shared" si="422"/>
        <v>75806</v>
      </c>
      <c r="CU159" s="94">
        <f t="shared" si="422"/>
        <v>95089</v>
      </c>
      <c r="CV159" s="94">
        <f t="shared" si="422"/>
        <v>170154</v>
      </c>
      <c r="CW159" s="94">
        <f t="shared" si="422"/>
        <v>-7731</v>
      </c>
      <c r="CX159" s="94">
        <f t="shared" si="422"/>
        <v>900</v>
      </c>
      <c r="CY159" s="94">
        <f t="shared" si="422"/>
        <v>3371</v>
      </c>
      <c r="CZ159" s="94">
        <f t="shared" si="422"/>
        <v>9012</v>
      </c>
      <c r="DA159" s="94">
        <f t="shared" si="422"/>
        <v>-9319</v>
      </c>
      <c r="DB159" s="94">
        <f t="shared" si="423"/>
        <v>-49370</v>
      </c>
      <c r="DC159" s="94">
        <f t="shared" si="423"/>
        <v>-31452</v>
      </c>
      <c r="DD159" s="94">
        <f t="shared" si="423"/>
        <v>-51997</v>
      </c>
      <c r="DE159" s="94">
        <f t="shared" si="423"/>
        <v>-91138</v>
      </c>
      <c r="DF159" s="94">
        <f t="shared" si="423"/>
        <v>-38762</v>
      </c>
      <c r="DG159" s="94">
        <f t="shared" si="423"/>
        <v>-63126</v>
      </c>
      <c r="DH159" s="94">
        <f t="shared" si="423"/>
        <v>-61595</v>
      </c>
      <c r="DI159" s="94">
        <f t="shared" si="423"/>
        <v>-23191</v>
      </c>
      <c r="DJ159" s="94">
        <f t="shared" si="423"/>
        <v>-20111</v>
      </c>
      <c r="DK159" s="94">
        <f t="shared" si="423"/>
        <v>-27820</v>
      </c>
      <c r="DL159" s="94">
        <f t="shared" si="424"/>
        <v>-13198</v>
      </c>
      <c r="DM159" s="94">
        <f t="shared" si="424"/>
        <v>-2878</v>
      </c>
      <c r="DN159" s="94">
        <f t="shared" si="424"/>
        <v>-8285</v>
      </c>
      <c r="DO159" s="94">
        <f t="shared" si="424"/>
        <v>14549</v>
      </c>
      <c r="DP159" s="94">
        <f t="shared" si="424"/>
        <v>7728</v>
      </c>
      <c r="DQ159" s="94">
        <f t="shared" si="424"/>
        <v>1564</v>
      </c>
      <c r="DR159" s="94">
        <f t="shared" si="424"/>
        <v>-767</v>
      </c>
      <c r="DS159" s="94">
        <f t="shared" si="424"/>
        <v>-6122</v>
      </c>
      <c r="DT159" s="94">
        <f t="shared" si="424"/>
        <v>-5482</v>
      </c>
      <c r="DU159" s="94">
        <f t="shared" si="424"/>
        <v>0</v>
      </c>
      <c r="DV159" s="94">
        <f t="shared" si="425"/>
        <v>0</v>
      </c>
      <c r="DW159" s="94">
        <f t="shared" si="425"/>
        <v>794</v>
      </c>
      <c r="DX159" s="94">
        <f t="shared" si="425"/>
        <v>4288</v>
      </c>
      <c r="DY159" s="94">
        <f t="shared" si="425"/>
        <v>17287</v>
      </c>
      <c r="DZ159" s="94">
        <f t="shared" si="425"/>
        <v>26117</v>
      </c>
      <c r="EA159" s="94">
        <f t="shared" si="425"/>
        <v>14092</v>
      </c>
      <c r="EB159" s="94">
        <f t="shared" si="425"/>
        <v>15538</v>
      </c>
      <c r="EC159" s="94">
        <f t="shared" si="425"/>
        <v>43937</v>
      </c>
      <c r="ED159" s="94">
        <f t="shared" si="425"/>
        <v>46123</v>
      </c>
      <c r="EE159" s="94">
        <f t="shared" si="425"/>
        <v>47407</v>
      </c>
      <c r="EF159" s="94">
        <f t="shared" si="426"/>
        <v>-43844</v>
      </c>
      <c r="EG159" s="94">
        <f t="shared" si="426"/>
        <v>20195</v>
      </c>
      <c r="EH159" s="94">
        <f t="shared" si="426"/>
        <v>37158</v>
      </c>
      <c r="EI159" s="94">
        <f t="shared" si="426"/>
        <v>-1437</v>
      </c>
      <c r="EJ159" s="94">
        <f t="shared" si="426"/>
        <v>-1457</v>
      </c>
      <c r="EK159" s="94">
        <f t="shared" si="426"/>
        <v>-27934</v>
      </c>
      <c r="EL159" s="94">
        <f t="shared" si="426"/>
        <v>-41350</v>
      </c>
    </row>
    <row r="160" spans="2:142" x14ac:dyDescent="0.3">
      <c r="B160" s="129" t="s">
        <v>607</v>
      </c>
      <c r="C160" s="129" t="s">
        <v>478</v>
      </c>
      <c r="D160" s="183" t="str">
        <f>IF(Menu!$D$12="PT",'Dados Financeiros'!B160,'Dados Financeiros'!C160)</f>
        <v>Contas a pagar por aquisição de imóveis - FCX</v>
      </c>
      <c r="E160" s="4">
        <v>117823</v>
      </c>
      <c r="F160" s="4">
        <v>-112173</v>
      </c>
      <c r="G160" s="4">
        <v>-4384</v>
      </c>
      <c r="H160" s="4">
        <v>14611</v>
      </c>
      <c r="I160" s="4">
        <v>-18467</v>
      </c>
      <c r="J160" s="4">
        <v>-497</v>
      </c>
      <c r="K160" s="4">
        <v>-5620</v>
      </c>
      <c r="L160" s="4">
        <v>13736</v>
      </c>
      <c r="M160" s="4">
        <v>-8057</v>
      </c>
      <c r="N160" s="4">
        <v>-25312</v>
      </c>
      <c r="O160" s="4">
        <v>-700</v>
      </c>
      <c r="P160" s="4">
        <v>16877</v>
      </c>
      <c r="Q160" s="4">
        <v>-7974</v>
      </c>
      <c r="R160" s="4">
        <v>6303</v>
      </c>
      <c r="S160" s="4">
        <v>-11779</v>
      </c>
      <c r="T160" s="4">
        <v>28370</v>
      </c>
      <c r="U160" s="4">
        <v>-5879</v>
      </c>
      <c r="V160" s="4">
        <v>-11496</v>
      </c>
      <c r="W160" s="4">
        <v>-5723</v>
      </c>
      <c r="X160" s="4">
        <v>15734</v>
      </c>
      <c r="Y160" s="4">
        <v>-28449</v>
      </c>
      <c r="Z160" s="4">
        <v>-25684</v>
      </c>
      <c r="AA160" s="4">
        <v>15509</v>
      </c>
      <c r="AB160" s="4">
        <v>5138</v>
      </c>
      <c r="AC160" s="4">
        <v>-5159</v>
      </c>
      <c r="AD160" s="4">
        <v>11829</v>
      </c>
      <c r="AE160" s="4">
        <v>-7870</v>
      </c>
      <c r="AF160" s="4">
        <v>-6202</v>
      </c>
      <c r="AG160" s="4">
        <v>-1984</v>
      </c>
      <c r="AH160" s="4">
        <v>18</v>
      </c>
      <c r="AI160" s="4">
        <v>-2619</v>
      </c>
      <c r="AJ160" s="4">
        <v>929</v>
      </c>
      <c r="AK160" s="4">
        <v>-5872</v>
      </c>
      <c r="AL160" s="4">
        <v>-3528</v>
      </c>
      <c r="AM160" s="4">
        <v>-8063</v>
      </c>
      <c r="AN160" s="4">
        <v>-2624</v>
      </c>
      <c r="AO160" s="4">
        <v>6444</v>
      </c>
      <c r="AP160" s="4">
        <v>-9020</v>
      </c>
      <c r="AQ160" s="4">
        <v>-730</v>
      </c>
      <c r="AR160" s="4">
        <v>987</v>
      </c>
      <c r="AS160" s="4">
        <v>339</v>
      </c>
      <c r="AT160" s="4">
        <v>5245</v>
      </c>
      <c r="AU160" s="4">
        <v>5934</v>
      </c>
      <c r="AV160" s="4">
        <v>-2775</v>
      </c>
      <c r="AW160" s="4">
        <v>-6259</v>
      </c>
      <c r="AX160" s="4">
        <v>-5217</v>
      </c>
      <c r="AY160" s="4">
        <v>-4496</v>
      </c>
      <c r="AZ160" s="4">
        <v>-1077</v>
      </c>
      <c r="BA160" s="94">
        <v>182</v>
      </c>
      <c r="BB160" s="4">
        <v>470</v>
      </c>
      <c r="BC160" s="4">
        <v>2252</v>
      </c>
      <c r="BD160" s="4">
        <v>-849</v>
      </c>
      <c r="BE160" s="4">
        <v>-176</v>
      </c>
      <c r="BF160" s="4">
        <v>270</v>
      </c>
      <c r="BG160" s="4">
        <v>696</v>
      </c>
      <c r="BH160" s="4">
        <v>96</v>
      </c>
      <c r="BI160" s="4">
        <v>543</v>
      </c>
      <c r="BJ160" s="4">
        <v>387</v>
      </c>
      <c r="BK160" s="4">
        <v>1681</v>
      </c>
      <c r="BL160" s="4">
        <v>2715</v>
      </c>
      <c r="BM160" s="4">
        <v>4782</v>
      </c>
      <c r="BN160" s="4">
        <v>-61721</v>
      </c>
      <c r="BO160" s="4">
        <v>-524</v>
      </c>
      <c r="BP160" s="4">
        <v>2145</v>
      </c>
      <c r="BQ160" s="4">
        <v>-68</v>
      </c>
      <c r="BR160" s="4">
        <v>-433</v>
      </c>
      <c r="BS160" s="4">
        <v>-215</v>
      </c>
      <c r="BT160" s="4">
        <v>8373</v>
      </c>
      <c r="BU160" s="4">
        <v>-1490</v>
      </c>
      <c r="BV160" s="4">
        <v>-585</v>
      </c>
      <c r="BW160" s="4">
        <v>-978</v>
      </c>
      <c r="BX160" s="4">
        <v>-795</v>
      </c>
      <c r="BY160" s="4">
        <v>-475</v>
      </c>
      <c r="BZ160" s="4">
        <v>-576</v>
      </c>
      <c r="CA160" s="4">
        <v>-593</v>
      </c>
      <c r="CB160" s="4">
        <v>-920</v>
      </c>
      <c r="CC160" s="4">
        <v>-522</v>
      </c>
      <c r="CD160" s="4">
        <v>-642</v>
      </c>
      <c r="CE160" s="4">
        <v>-542</v>
      </c>
      <c r="CF160" s="4">
        <v>-768</v>
      </c>
      <c r="CH160" s="94">
        <f t="shared" si="421"/>
        <v>5650</v>
      </c>
      <c r="CI160" s="94">
        <f t="shared" si="421"/>
        <v>1266</v>
      </c>
      <c r="CJ160" s="94">
        <f t="shared" si="421"/>
        <v>15877</v>
      </c>
      <c r="CK160" s="94">
        <f t="shared" si="421"/>
        <v>-18964</v>
      </c>
      <c r="CL160" s="94">
        <f t="shared" si="421"/>
        <v>-24584</v>
      </c>
      <c r="CM160" s="94">
        <f t="shared" si="421"/>
        <v>-10848</v>
      </c>
      <c r="CN160" s="94">
        <f t="shared" si="421"/>
        <v>-33369</v>
      </c>
      <c r="CO160" s="94">
        <f t="shared" si="421"/>
        <v>-34069</v>
      </c>
      <c r="CP160" s="94">
        <f t="shared" si="421"/>
        <v>-17192</v>
      </c>
      <c r="CQ160" s="94">
        <f t="shared" si="421"/>
        <v>-1671</v>
      </c>
      <c r="CR160" s="94">
        <f t="shared" si="422"/>
        <v>-13450</v>
      </c>
      <c r="CS160" s="94">
        <f t="shared" si="422"/>
        <v>14920</v>
      </c>
      <c r="CT160" s="94">
        <f t="shared" si="422"/>
        <v>-17375</v>
      </c>
      <c r="CU160" s="94">
        <f t="shared" si="422"/>
        <v>-23098</v>
      </c>
      <c r="CV160" s="94">
        <f t="shared" si="422"/>
        <v>-7364</v>
      </c>
      <c r="CW160" s="94">
        <f t="shared" si="422"/>
        <v>-20546</v>
      </c>
      <c r="CX160" s="94">
        <f t="shared" si="422"/>
        <v>-8717</v>
      </c>
      <c r="CY160" s="94">
        <f t="shared" si="422"/>
        <v>-14919</v>
      </c>
      <c r="CZ160" s="94">
        <f t="shared" si="422"/>
        <v>-1966</v>
      </c>
      <c r="DA160" s="94">
        <f t="shared" si="422"/>
        <v>-4585</v>
      </c>
      <c r="DB160" s="94">
        <f t="shared" si="423"/>
        <v>-3656</v>
      </c>
      <c r="DC160" s="94">
        <f t="shared" si="423"/>
        <v>-9400</v>
      </c>
      <c r="DD160" s="94">
        <f t="shared" si="423"/>
        <v>-17463</v>
      </c>
      <c r="DE160" s="94">
        <f t="shared" si="423"/>
        <v>-20087</v>
      </c>
      <c r="DF160" s="94">
        <f t="shared" si="423"/>
        <v>-2576</v>
      </c>
      <c r="DG160" s="94">
        <f t="shared" si="423"/>
        <v>-3306</v>
      </c>
      <c r="DH160" s="94">
        <f t="shared" si="423"/>
        <v>-2319</v>
      </c>
      <c r="DI160" s="94">
        <f t="shared" si="423"/>
        <v>5584</v>
      </c>
      <c r="DJ160" s="94">
        <f t="shared" si="423"/>
        <v>11518</v>
      </c>
      <c r="DK160" s="94">
        <f t="shared" si="423"/>
        <v>8743</v>
      </c>
      <c r="DL160" s="94">
        <f t="shared" si="424"/>
        <v>-11476</v>
      </c>
      <c r="DM160" s="94">
        <f t="shared" si="424"/>
        <v>-15972</v>
      </c>
      <c r="DN160" s="94">
        <f t="shared" si="424"/>
        <v>-17049</v>
      </c>
      <c r="DO160" s="94">
        <f t="shared" si="424"/>
        <v>652</v>
      </c>
      <c r="DP160" s="94">
        <f t="shared" si="424"/>
        <v>2904</v>
      </c>
      <c r="DQ160" s="94">
        <f t="shared" si="424"/>
        <v>2055</v>
      </c>
      <c r="DR160" s="94">
        <f t="shared" si="424"/>
        <v>94</v>
      </c>
      <c r="DS160" s="94">
        <f t="shared" si="424"/>
        <v>790</v>
      </c>
      <c r="DT160" s="94">
        <f t="shared" si="424"/>
        <v>886</v>
      </c>
      <c r="DU160" s="94">
        <f t="shared" si="424"/>
        <v>930</v>
      </c>
      <c r="DV160" s="94">
        <f t="shared" si="425"/>
        <v>2611</v>
      </c>
      <c r="DW160" s="94">
        <f t="shared" si="425"/>
        <v>5326</v>
      </c>
      <c r="DX160" s="94">
        <f t="shared" si="425"/>
        <v>-56939</v>
      </c>
      <c r="DY160" s="94">
        <f t="shared" si="425"/>
        <v>-57463</v>
      </c>
      <c r="DZ160" s="94">
        <f t="shared" si="425"/>
        <v>-55318</v>
      </c>
      <c r="EA160" s="94">
        <f t="shared" si="425"/>
        <v>-501</v>
      </c>
      <c r="EB160" s="94">
        <f t="shared" si="425"/>
        <v>-716</v>
      </c>
      <c r="EC160" s="94">
        <f t="shared" si="425"/>
        <v>7657</v>
      </c>
      <c r="ED160" s="94">
        <f t="shared" si="425"/>
        <v>-2075</v>
      </c>
      <c r="EE160" s="94">
        <f t="shared" si="425"/>
        <v>-3053</v>
      </c>
      <c r="EF160" s="94">
        <f t="shared" si="426"/>
        <v>-3848</v>
      </c>
      <c r="EG160" s="94">
        <f t="shared" si="426"/>
        <v>-1051</v>
      </c>
      <c r="EH160" s="94">
        <f t="shared" si="426"/>
        <v>-1644</v>
      </c>
      <c r="EI160" s="94">
        <f t="shared" si="426"/>
        <v>-2564</v>
      </c>
      <c r="EJ160" s="94">
        <f t="shared" si="426"/>
        <v>-1164</v>
      </c>
      <c r="EK160" s="94">
        <f t="shared" si="426"/>
        <v>-1706</v>
      </c>
      <c r="EL160" s="94">
        <f t="shared" si="426"/>
        <v>-2474</v>
      </c>
    </row>
    <row r="161" spans="2:142" x14ac:dyDescent="0.3">
      <c r="B161" s="129" t="s">
        <v>633</v>
      </c>
      <c r="C161" s="129" t="s">
        <v>480</v>
      </c>
      <c r="D161" s="183" t="str">
        <f>IF(Menu!$D$12="PT",'Dados Financeiros'!B161,'Dados Financeiros'!C161)</f>
        <v>Dividendos recebidos - OP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94">
        <v>0</v>
      </c>
      <c r="BB161" s="4">
        <v>0</v>
      </c>
      <c r="BC161" s="4">
        <v>16100</v>
      </c>
      <c r="BD161" s="4">
        <v>0</v>
      </c>
      <c r="BE161" s="4">
        <v>16675</v>
      </c>
      <c r="BF161" s="4">
        <v>31050</v>
      </c>
      <c r="BG161" s="4">
        <v>25612</v>
      </c>
      <c r="BH161" s="4">
        <v>28750</v>
      </c>
      <c r="BI161" s="4">
        <v>11500</v>
      </c>
      <c r="BJ161" s="4">
        <v>11500</v>
      </c>
      <c r="BK161" s="4">
        <v>17250</v>
      </c>
      <c r="BL161" s="4">
        <v>21275</v>
      </c>
      <c r="BM161" s="4">
        <v>0</v>
      </c>
      <c r="BN161" s="4">
        <v>11500</v>
      </c>
      <c r="BO161" s="4">
        <v>17250</v>
      </c>
      <c r="BP161" s="4">
        <v>6559</v>
      </c>
      <c r="BQ161" s="4">
        <v>13117</v>
      </c>
      <c r="BR161" s="4">
        <v>24363</v>
      </c>
      <c r="BS161" s="4">
        <v>0</v>
      </c>
      <c r="BT161" s="4">
        <v>1757</v>
      </c>
      <c r="BU161" s="4">
        <v>10925</v>
      </c>
      <c r="BV161" s="4">
        <v>2363</v>
      </c>
      <c r="BW161" s="4">
        <v>0</v>
      </c>
      <c r="BX161" s="4">
        <v>1994</v>
      </c>
      <c r="BY161" s="4">
        <v>10350</v>
      </c>
      <c r="BZ161" s="4">
        <v>7612</v>
      </c>
      <c r="CA161" s="4">
        <v>9975</v>
      </c>
      <c r="CB161" s="4">
        <v>5791</v>
      </c>
      <c r="CC161" s="4">
        <v>10703</v>
      </c>
      <c r="CD161" s="4">
        <v>0</v>
      </c>
      <c r="CE161" s="4">
        <v>9765</v>
      </c>
      <c r="CF161" s="4">
        <v>25413</v>
      </c>
      <c r="CH161" s="94">
        <f t="shared" si="421"/>
        <v>0</v>
      </c>
      <c r="CI161" s="94">
        <f t="shared" si="421"/>
        <v>0</v>
      </c>
      <c r="CJ161" s="94">
        <f t="shared" si="421"/>
        <v>0</v>
      </c>
      <c r="CK161" s="94">
        <f t="shared" si="421"/>
        <v>0</v>
      </c>
      <c r="CL161" s="94">
        <f t="shared" si="421"/>
        <v>0</v>
      </c>
      <c r="CM161" s="94">
        <f t="shared" si="421"/>
        <v>0</v>
      </c>
      <c r="CN161" s="94">
        <f t="shared" si="421"/>
        <v>0</v>
      </c>
      <c r="CO161" s="94">
        <f t="shared" si="421"/>
        <v>0</v>
      </c>
      <c r="CP161" s="94">
        <f t="shared" si="421"/>
        <v>0</v>
      </c>
      <c r="CQ161" s="94">
        <f t="shared" si="421"/>
        <v>0</v>
      </c>
      <c r="CR161" s="94">
        <f t="shared" si="422"/>
        <v>0</v>
      </c>
      <c r="CS161" s="94">
        <f t="shared" si="422"/>
        <v>0</v>
      </c>
      <c r="CT161" s="94">
        <f t="shared" si="422"/>
        <v>0</v>
      </c>
      <c r="CU161" s="94">
        <f t="shared" si="422"/>
        <v>0</v>
      </c>
      <c r="CV161" s="94">
        <f t="shared" si="422"/>
        <v>0</v>
      </c>
      <c r="CW161" s="94">
        <f t="shared" si="422"/>
        <v>0</v>
      </c>
      <c r="CX161" s="94">
        <f t="shared" si="422"/>
        <v>0</v>
      </c>
      <c r="CY161" s="94">
        <f t="shared" si="422"/>
        <v>0</v>
      </c>
      <c r="CZ161" s="94">
        <f t="shared" si="422"/>
        <v>0</v>
      </c>
      <c r="DA161" s="94">
        <f t="shared" si="422"/>
        <v>0</v>
      </c>
      <c r="DB161" s="94">
        <f t="shared" si="423"/>
        <v>0</v>
      </c>
      <c r="DC161" s="94">
        <f t="shared" si="423"/>
        <v>0</v>
      </c>
      <c r="DD161" s="94">
        <f t="shared" si="423"/>
        <v>0</v>
      </c>
      <c r="DE161" s="94">
        <f t="shared" si="423"/>
        <v>0</v>
      </c>
      <c r="DF161" s="94">
        <f t="shared" si="423"/>
        <v>0</v>
      </c>
      <c r="DG161" s="94">
        <f t="shared" si="423"/>
        <v>0</v>
      </c>
      <c r="DH161" s="94">
        <f t="shared" si="423"/>
        <v>0</v>
      </c>
      <c r="DI161" s="94">
        <f t="shared" si="423"/>
        <v>0</v>
      </c>
      <c r="DJ161" s="94">
        <f t="shared" si="423"/>
        <v>0</v>
      </c>
      <c r="DK161" s="94">
        <f t="shared" si="423"/>
        <v>0</v>
      </c>
      <c r="DL161" s="94">
        <f t="shared" si="424"/>
        <v>0</v>
      </c>
      <c r="DM161" s="94">
        <f t="shared" si="424"/>
        <v>0</v>
      </c>
      <c r="DN161" s="94">
        <f t="shared" si="424"/>
        <v>0</v>
      </c>
      <c r="DO161" s="94">
        <f t="shared" si="424"/>
        <v>0</v>
      </c>
      <c r="DP161" s="94">
        <f t="shared" si="424"/>
        <v>16100</v>
      </c>
      <c r="DQ161" s="94">
        <f t="shared" si="424"/>
        <v>16100</v>
      </c>
      <c r="DR161" s="94">
        <f t="shared" si="424"/>
        <v>47725</v>
      </c>
      <c r="DS161" s="94">
        <f t="shared" si="424"/>
        <v>73337</v>
      </c>
      <c r="DT161" s="94">
        <f t="shared" si="424"/>
        <v>102087</v>
      </c>
      <c r="DU161" s="94">
        <f t="shared" si="424"/>
        <v>23000</v>
      </c>
      <c r="DV161" s="94">
        <f t="shared" si="425"/>
        <v>40250</v>
      </c>
      <c r="DW161" s="94">
        <f t="shared" si="425"/>
        <v>61525</v>
      </c>
      <c r="DX161" s="94">
        <f t="shared" si="425"/>
        <v>11500</v>
      </c>
      <c r="DY161" s="94">
        <f t="shared" si="425"/>
        <v>28750</v>
      </c>
      <c r="DZ161" s="94">
        <f t="shared" si="425"/>
        <v>35309</v>
      </c>
      <c r="EA161" s="94">
        <f t="shared" si="425"/>
        <v>37480</v>
      </c>
      <c r="EB161" s="94">
        <f t="shared" si="425"/>
        <v>37480</v>
      </c>
      <c r="EC161" s="94">
        <f t="shared" si="425"/>
        <v>39237</v>
      </c>
      <c r="ED161" s="94">
        <f t="shared" si="425"/>
        <v>13288</v>
      </c>
      <c r="EE161" s="94">
        <f t="shared" si="425"/>
        <v>13288</v>
      </c>
      <c r="EF161" s="94">
        <f t="shared" si="426"/>
        <v>15282</v>
      </c>
      <c r="EG161" s="94">
        <f t="shared" si="426"/>
        <v>17962</v>
      </c>
      <c r="EH161" s="94">
        <f t="shared" si="426"/>
        <v>27937</v>
      </c>
      <c r="EI161" s="94">
        <f t="shared" si="426"/>
        <v>33728</v>
      </c>
      <c r="EJ161" s="94">
        <f t="shared" si="426"/>
        <v>10703</v>
      </c>
      <c r="EK161" s="94">
        <f t="shared" si="426"/>
        <v>20468</v>
      </c>
      <c r="EL161" s="94">
        <f t="shared" si="426"/>
        <v>45881</v>
      </c>
    </row>
    <row r="162" spans="2:142" x14ac:dyDescent="0.3">
      <c r="B162" s="129" t="s">
        <v>344</v>
      </c>
      <c r="C162" s="129" t="s">
        <v>495</v>
      </c>
      <c r="D162" s="183" t="str">
        <f>IF(Menu!$D$12="PT",'Dados Financeiros'!B162,'Dados Financeiros'!C162)</f>
        <v>Juros pagos</v>
      </c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>
        <v>-58172</v>
      </c>
      <c r="AL162" s="4">
        <v>-45134</v>
      </c>
      <c r="AM162" s="4">
        <v>-70519</v>
      </c>
      <c r="AN162" s="4">
        <v>-43424</v>
      </c>
      <c r="AO162" s="4">
        <v>-72226</v>
      </c>
      <c r="AP162" s="4">
        <v>-48819</v>
      </c>
      <c r="AQ162" s="4">
        <v>-71257</v>
      </c>
      <c r="AR162" s="4">
        <v>-11744</v>
      </c>
      <c r="AS162" s="4">
        <v>-49343</v>
      </c>
      <c r="AT162" s="4">
        <v>-27523</v>
      </c>
      <c r="AU162" s="4">
        <v>-55254</v>
      </c>
      <c r="AV162" s="4">
        <v>-20446</v>
      </c>
      <c r="AW162" s="4">
        <v>-31540</v>
      </c>
      <c r="AX162" s="4">
        <v>-28247</v>
      </c>
      <c r="AY162" s="4">
        <v>-23029</v>
      </c>
      <c r="AZ162" s="4">
        <v>-17088</v>
      </c>
      <c r="BA162" s="94">
        <v>-21420</v>
      </c>
      <c r="BB162" s="4">
        <v>-12377</v>
      </c>
      <c r="BC162" s="4">
        <v>-20100</v>
      </c>
      <c r="BD162" s="4">
        <v>-13355</v>
      </c>
      <c r="BE162" s="4">
        <v>-17899</v>
      </c>
      <c r="BF162" s="4">
        <v>-13897</v>
      </c>
      <c r="BG162" s="4">
        <v>-20803</v>
      </c>
      <c r="BH162" s="4">
        <v>-8418</v>
      </c>
      <c r="BI162" s="4">
        <v>-8359</v>
      </c>
      <c r="BJ162" s="4">
        <v>-4849</v>
      </c>
      <c r="BK162" s="4">
        <v>-5269</v>
      </c>
      <c r="BL162" s="4">
        <v>-6134</v>
      </c>
      <c r="BM162" s="4">
        <v>-7802</v>
      </c>
      <c r="BN162" s="4">
        <v>-13800</v>
      </c>
      <c r="BO162" s="4">
        <v>-16742</v>
      </c>
      <c r="BP162" s="4">
        <v>-10981</v>
      </c>
      <c r="BQ162" s="4">
        <v>-12437</v>
      </c>
      <c r="BR162" s="4">
        <v>-16677</v>
      </c>
      <c r="BS162" s="4">
        <v>-14660</v>
      </c>
      <c r="BT162" s="4">
        <v>-14296</v>
      </c>
      <c r="BU162" s="4">
        <v>-17161</v>
      </c>
      <c r="BV162" s="4">
        <v>-17122</v>
      </c>
      <c r="BW162" s="4">
        <v>-18803</v>
      </c>
      <c r="BX162" s="4">
        <v>-19541</v>
      </c>
      <c r="BY162" s="4">
        <v>-19233</v>
      </c>
      <c r="BZ162" s="4">
        <v>-20701</v>
      </c>
      <c r="CA162" s="4">
        <v>-21080</v>
      </c>
      <c r="CB162" s="4">
        <v>-19189</v>
      </c>
      <c r="CC162" s="4">
        <v>-19063</v>
      </c>
      <c r="CD162" s="4">
        <v>-18520</v>
      </c>
      <c r="CE162" s="4">
        <v>-20212</v>
      </c>
      <c r="CF162" s="4">
        <v>-19564</v>
      </c>
      <c r="CH162" s="94">
        <f t="shared" si="421"/>
        <v>0</v>
      </c>
      <c r="CI162" s="94">
        <f t="shared" si="421"/>
        <v>0</v>
      </c>
      <c r="CJ162" s="94">
        <f t="shared" si="421"/>
        <v>0</v>
      </c>
      <c r="CK162" s="94">
        <f t="shared" si="421"/>
        <v>0</v>
      </c>
      <c r="CL162" s="94">
        <f t="shared" si="421"/>
        <v>0</v>
      </c>
      <c r="CM162" s="94">
        <f t="shared" si="421"/>
        <v>0</v>
      </c>
      <c r="CN162" s="94">
        <f t="shared" si="421"/>
        <v>0</v>
      </c>
      <c r="CO162" s="94">
        <f t="shared" si="421"/>
        <v>0</v>
      </c>
      <c r="CP162" s="94">
        <f t="shared" si="421"/>
        <v>0</v>
      </c>
      <c r="CQ162" s="94">
        <f t="shared" si="421"/>
        <v>0</v>
      </c>
      <c r="CR162" s="94">
        <f t="shared" si="422"/>
        <v>0</v>
      </c>
      <c r="CS162" s="94">
        <f t="shared" si="422"/>
        <v>0</v>
      </c>
      <c r="CT162" s="94">
        <f t="shared" si="422"/>
        <v>0</v>
      </c>
      <c r="CU162" s="94">
        <f t="shared" si="422"/>
        <v>0</v>
      </c>
      <c r="CV162" s="94">
        <f t="shared" si="422"/>
        <v>0</v>
      </c>
      <c r="CW162" s="94">
        <f t="shared" si="422"/>
        <v>0</v>
      </c>
      <c r="CX162" s="94">
        <f t="shared" si="422"/>
        <v>0</v>
      </c>
      <c r="CY162" s="94">
        <f t="shared" si="422"/>
        <v>0</v>
      </c>
      <c r="CZ162" s="94">
        <f t="shared" si="422"/>
        <v>0</v>
      </c>
      <c r="DA162" s="94">
        <f t="shared" si="422"/>
        <v>0</v>
      </c>
      <c r="DB162" s="94">
        <f t="shared" si="423"/>
        <v>0</v>
      </c>
      <c r="DC162" s="94">
        <f t="shared" si="423"/>
        <v>-103306</v>
      </c>
      <c r="DD162" s="94">
        <f t="shared" si="423"/>
        <v>-173825</v>
      </c>
      <c r="DE162" s="94">
        <f t="shared" si="423"/>
        <v>-217249</v>
      </c>
      <c r="DF162" s="94">
        <f t="shared" si="423"/>
        <v>-121045</v>
      </c>
      <c r="DG162" s="94">
        <f t="shared" si="423"/>
        <v>-192302</v>
      </c>
      <c r="DH162" s="94">
        <f t="shared" si="423"/>
        <v>-204046</v>
      </c>
      <c r="DI162" s="94">
        <f t="shared" si="423"/>
        <v>-76866</v>
      </c>
      <c r="DJ162" s="94">
        <f t="shared" si="423"/>
        <v>-132120</v>
      </c>
      <c r="DK162" s="94">
        <f t="shared" si="423"/>
        <v>-152566</v>
      </c>
      <c r="DL162" s="94">
        <f t="shared" si="424"/>
        <v>-59787</v>
      </c>
      <c r="DM162" s="94">
        <f t="shared" si="424"/>
        <v>-82816</v>
      </c>
      <c r="DN162" s="94">
        <f t="shared" si="424"/>
        <v>-99904</v>
      </c>
      <c r="DO162" s="94">
        <f t="shared" si="424"/>
        <v>-33797</v>
      </c>
      <c r="DP162" s="94">
        <f t="shared" si="424"/>
        <v>-53897</v>
      </c>
      <c r="DQ162" s="94">
        <f t="shared" si="424"/>
        <v>-67252</v>
      </c>
      <c r="DR162" s="94">
        <f t="shared" si="424"/>
        <v>-31796</v>
      </c>
      <c r="DS162" s="94">
        <f t="shared" si="424"/>
        <v>-52599</v>
      </c>
      <c r="DT162" s="94">
        <f t="shared" si="424"/>
        <v>-61017</v>
      </c>
      <c r="DU162" s="94">
        <f t="shared" si="424"/>
        <v>-13208</v>
      </c>
      <c r="DV162" s="94">
        <f t="shared" si="425"/>
        <v>-18477</v>
      </c>
      <c r="DW162" s="94">
        <f t="shared" si="425"/>
        <v>-24611</v>
      </c>
      <c r="DX162" s="94">
        <f t="shared" si="425"/>
        <v>-21602</v>
      </c>
      <c r="DY162" s="94">
        <f t="shared" si="425"/>
        <v>-38344</v>
      </c>
      <c r="DZ162" s="94">
        <f t="shared" si="425"/>
        <v>-49325</v>
      </c>
      <c r="EA162" s="94">
        <f t="shared" si="425"/>
        <v>-29114</v>
      </c>
      <c r="EB162" s="94">
        <f t="shared" si="425"/>
        <v>-43774</v>
      </c>
      <c r="EC162" s="94">
        <f t="shared" si="425"/>
        <v>-58070</v>
      </c>
      <c r="ED162" s="94">
        <f t="shared" si="425"/>
        <v>-34283</v>
      </c>
      <c r="EE162" s="94">
        <f t="shared" si="425"/>
        <v>-53086</v>
      </c>
      <c r="EF162" s="94">
        <f t="shared" si="426"/>
        <v>-72627</v>
      </c>
      <c r="EG162" s="94">
        <f t="shared" si="426"/>
        <v>-39934</v>
      </c>
      <c r="EH162" s="94">
        <f t="shared" si="426"/>
        <v>-61014</v>
      </c>
      <c r="EI162" s="94">
        <f t="shared" si="426"/>
        <v>-80203</v>
      </c>
      <c r="EJ162" s="94">
        <f t="shared" si="426"/>
        <v>-37583</v>
      </c>
      <c r="EK162" s="94">
        <f t="shared" si="426"/>
        <v>-57795</v>
      </c>
      <c r="EL162" s="94">
        <f t="shared" si="426"/>
        <v>-77359</v>
      </c>
    </row>
    <row r="163" spans="2:142" x14ac:dyDescent="0.3">
      <c r="B163" s="129" t="s">
        <v>608</v>
      </c>
      <c r="C163" s="129" t="s">
        <v>479</v>
      </c>
      <c r="D163" s="183" t="str">
        <f>IF(Menu!$D$12="PT",'Dados Financeiros'!B163,'Dados Financeiros'!C163)</f>
        <v>Impostos sobre vendas diferidos - FCX</v>
      </c>
      <c r="E163" s="4">
        <v>2741</v>
      </c>
      <c r="F163" s="4">
        <v>1268</v>
      </c>
      <c r="G163" s="4">
        <v>1604</v>
      </c>
      <c r="H163" s="4">
        <v>213</v>
      </c>
      <c r="I163" s="4">
        <v>202</v>
      </c>
      <c r="J163" s="4">
        <v>1995</v>
      </c>
      <c r="K163" s="4">
        <v>1492</v>
      </c>
      <c r="L163" s="4">
        <v>2425</v>
      </c>
      <c r="M163" s="4">
        <v>2618</v>
      </c>
      <c r="N163" s="4">
        <v>2554</v>
      </c>
      <c r="O163" s="4">
        <v>4480</v>
      </c>
      <c r="P163" s="4">
        <v>1210</v>
      </c>
      <c r="Q163" s="4">
        <v>7057</v>
      </c>
      <c r="R163" s="4">
        <v>3761</v>
      </c>
      <c r="S163" s="4">
        <v>4312</v>
      </c>
      <c r="T163" s="4">
        <v>16050</v>
      </c>
      <c r="U163" s="4">
        <v>6903</v>
      </c>
      <c r="V163" s="4">
        <v>-6029</v>
      </c>
      <c r="W163" s="4">
        <v>3461</v>
      </c>
      <c r="X163" s="4">
        <v>-1014</v>
      </c>
      <c r="Y163" s="4">
        <v>760</v>
      </c>
      <c r="Z163" s="4">
        <v>1427</v>
      </c>
      <c r="AA163" s="4">
        <v>9453</v>
      </c>
      <c r="AB163" s="4">
        <v>3508</v>
      </c>
      <c r="AC163" s="4">
        <v>59</v>
      </c>
      <c r="AD163" s="4">
        <v>1527</v>
      </c>
      <c r="AE163" s="4">
        <v>-24137</v>
      </c>
      <c r="AF163" s="4">
        <v>-19787</v>
      </c>
      <c r="AG163" s="4">
        <v>1923</v>
      </c>
      <c r="AH163" s="4">
        <v>-1465</v>
      </c>
      <c r="AI163" s="4">
        <v>1965</v>
      </c>
      <c r="AJ163" s="4">
        <v>201</v>
      </c>
      <c r="AK163" s="4">
        <v>0</v>
      </c>
      <c r="AL163" s="4">
        <v>0</v>
      </c>
      <c r="AM163" s="4">
        <v>0</v>
      </c>
      <c r="AN163" s="4">
        <v>0</v>
      </c>
      <c r="AO163" s="4">
        <v>347</v>
      </c>
      <c r="AP163" s="4">
        <v>-347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9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0</v>
      </c>
      <c r="BL163" s="4">
        <v>0</v>
      </c>
      <c r="BM163" s="4">
        <v>0</v>
      </c>
      <c r="BN163" s="4">
        <v>0</v>
      </c>
      <c r="BO163" s="4">
        <v>0</v>
      </c>
      <c r="BP163" s="4">
        <v>0</v>
      </c>
      <c r="BQ163" s="4">
        <v>0</v>
      </c>
      <c r="BR163" s="4">
        <v>0</v>
      </c>
      <c r="BS163" s="4">
        <v>0</v>
      </c>
      <c r="BT163" s="4">
        <v>0</v>
      </c>
      <c r="BU163" s="4">
        <v>0</v>
      </c>
      <c r="BV163" s="4">
        <v>0</v>
      </c>
      <c r="BW163" s="4">
        <v>0</v>
      </c>
      <c r="BX163" s="4">
        <v>0</v>
      </c>
      <c r="BY163" s="4">
        <v>0</v>
      </c>
      <c r="BZ163" s="4">
        <v>0</v>
      </c>
      <c r="CA163" s="4">
        <v>0</v>
      </c>
      <c r="CB163" s="4">
        <v>0</v>
      </c>
      <c r="CC163" s="4">
        <v>0</v>
      </c>
      <c r="CD163" s="4">
        <v>0</v>
      </c>
      <c r="CE163" s="4">
        <v>0</v>
      </c>
      <c r="CF163" s="4">
        <v>0</v>
      </c>
      <c r="CH163" s="94">
        <f t="shared" si="421"/>
        <v>4009</v>
      </c>
      <c r="CI163" s="94">
        <f t="shared" si="421"/>
        <v>5613</v>
      </c>
      <c r="CJ163" s="94">
        <f t="shared" si="421"/>
        <v>5826</v>
      </c>
      <c r="CK163" s="94">
        <f t="shared" si="421"/>
        <v>2197</v>
      </c>
      <c r="CL163" s="94">
        <f t="shared" si="421"/>
        <v>3689</v>
      </c>
      <c r="CM163" s="94">
        <f t="shared" si="421"/>
        <v>6114</v>
      </c>
      <c r="CN163" s="94">
        <f t="shared" si="421"/>
        <v>5172</v>
      </c>
      <c r="CO163" s="94">
        <f t="shared" si="421"/>
        <v>9652</v>
      </c>
      <c r="CP163" s="94">
        <f t="shared" si="421"/>
        <v>10862</v>
      </c>
      <c r="CQ163" s="94">
        <f t="shared" si="421"/>
        <v>10818</v>
      </c>
      <c r="CR163" s="94">
        <f t="shared" si="422"/>
        <v>15130</v>
      </c>
      <c r="CS163" s="94">
        <f t="shared" si="422"/>
        <v>31180</v>
      </c>
      <c r="CT163" s="94">
        <f t="shared" si="422"/>
        <v>874</v>
      </c>
      <c r="CU163" s="94">
        <f t="shared" si="422"/>
        <v>4335</v>
      </c>
      <c r="CV163" s="94">
        <f t="shared" si="422"/>
        <v>3321</v>
      </c>
      <c r="CW163" s="94">
        <f t="shared" si="422"/>
        <v>4935</v>
      </c>
      <c r="CX163" s="94">
        <f t="shared" si="422"/>
        <v>6462</v>
      </c>
      <c r="CY163" s="94">
        <f t="shared" si="422"/>
        <v>-13325</v>
      </c>
      <c r="CZ163" s="94">
        <f t="shared" si="422"/>
        <v>458</v>
      </c>
      <c r="DA163" s="94">
        <f t="shared" si="422"/>
        <v>2423</v>
      </c>
      <c r="DB163" s="94">
        <f t="shared" si="423"/>
        <v>2624</v>
      </c>
      <c r="DC163" s="94">
        <f t="shared" si="423"/>
        <v>0</v>
      </c>
      <c r="DD163" s="94">
        <f t="shared" si="423"/>
        <v>0</v>
      </c>
      <c r="DE163" s="94">
        <f t="shared" si="423"/>
        <v>0</v>
      </c>
      <c r="DF163" s="94">
        <f t="shared" si="423"/>
        <v>0</v>
      </c>
      <c r="DG163" s="94">
        <f t="shared" si="423"/>
        <v>0</v>
      </c>
      <c r="DH163" s="94">
        <f t="shared" si="423"/>
        <v>0</v>
      </c>
      <c r="DI163" s="94">
        <f t="shared" si="423"/>
        <v>0</v>
      </c>
      <c r="DJ163" s="94">
        <f t="shared" si="423"/>
        <v>0</v>
      </c>
      <c r="DK163" s="94">
        <f t="shared" si="423"/>
        <v>0</v>
      </c>
      <c r="DL163" s="94">
        <f t="shared" si="424"/>
        <v>0</v>
      </c>
      <c r="DM163" s="94">
        <f t="shared" si="424"/>
        <v>0</v>
      </c>
      <c r="DN163" s="94">
        <f t="shared" si="424"/>
        <v>0</v>
      </c>
      <c r="DO163" s="94">
        <f t="shared" si="424"/>
        <v>0</v>
      </c>
      <c r="DP163" s="94">
        <f t="shared" si="424"/>
        <v>0</v>
      </c>
      <c r="DQ163" s="94">
        <f t="shared" si="424"/>
        <v>0</v>
      </c>
      <c r="DR163" s="94">
        <f t="shared" si="424"/>
        <v>0</v>
      </c>
      <c r="DS163" s="94">
        <f t="shared" si="424"/>
        <v>0</v>
      </c>
      <c r="DT163" s="94">
        <f t="shared" si="424"/>
        <v>0</v>
      </c>
      <c r="DU163" s="94">
        <f t="shared" si="424"/>
        <v>0</v>
      </c>
      <c r="DV163" s="94">
        <f t="shared" si="425"/>
        <v>0</v>
      </c>
      <c r="DW163" s="94">
        <f t="shared" si="425"/>
        <v>0</v>
      </c>
      <c r="DX163" s="94">
        <f t="shared" si="425"/>
        <v>0</v>
      </c>
      <c r="DY163" s="94">
        <f t="shared" si="425"/>
        <v>0</v>
      </c>
      <c r="DZ163" s="94">
        <f t="shared" si="425"/>
        <v>0</v>
      </c>
      <c r="EA163" s="94">
        <f t="shared" si="425"/>
        <v>0</v>
      </c>
      <c r="EB163" s="94">
        <f t="shared" si="425"/>
        <v>0</v>
      </c>
      <c r="EC163" s="94">
        <f t="shared" si="425"/>
        <v>0</v>
      </c>
      <c r="ED163" s="94">
        <f t="shared" si="425"/>
        <v>0</v>
      </c>
      <c r="EE163" s="94">
        <f t="shared" si="425"/>
        <v>0</v>
      </c>
      <c r="EF163" s="94">
        <f t="shared" si="426"/>
        <v>0</v>
      </c>
      <c r="EG163" s="94">
        <f t="shared" si="426"/>
        <v>0</v>
      </c>
      <c r="EH163" s="94">
        <f t="shared" si="426"/>
        <v>0</v>
      </c>
      <c r="EI163" s="94">
        <f t="shared" si="426"/>
        <v>0</v>
      </c>
      <c r="EJ163" s="94">
        <f t="shared" si="426"/>
        <v>0</v>
      </c>
      <c r="EK163" s="94">
        <f t="shared" si="426"/>
        <v>0</v>
      </c>
      <c r="EL163" s="94">
        <f t="shared" si="426"/>
        <v>0</v>
      </c>
    </row>
    <row r="164" spans="2:142" x14ac:dyDescent="0.3">
      <c r="B164" s="129" t="s">
        <v>609</v>
      </c>
      <c r="C164" s="129" t="s">
        <v>410</v>
      </c>
      <c r="D164" s="183" t="str">
        <f>IF(Menu!$D$12="PT",'Dados Financeiros'!B164,'Dados Financeiros'!C164)</f>
        <v>Aquisições de participação societária - FCX</v>
      </c>
      <c r="E164" s="4">
        <v>0</v>
      </c>
      <c r="F164" s="4">
        <v>0</v>
      </c>
      <c r="G164" s="4">
        <v>0</v>
      </c>
      <c r="H164" s="4">
        <v>0</v>
      </c>
      <c r="I164" s="4">
        <v>640</v>
      </c>
      <c r="J164" s="4">
        <v>654</v>
      </c>
      <c r="K164" s="4">
        <v>763</v>
      </c>
      <c r="L164" s="4">
        <v>825</v>
      </c>
      <c r="M164" s="4">
        <v>755</v>
      </c>
      <c r="N164" s="4">
        <v>637</v>
      </c>
      <c r="O164" s="4">
        <v>591</v>
      </c>
      <c r="P164" s="4">
        <v>-2684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2304</v>
      </c>
      <c r="X164" s="4">
        <v>-1326</v>
      </c>
      <c r="Y164" s="4">
        <v>-475</v>
      </c>
      <c r="Z164" s="4">
        <v>-475</v>
      </c>
      <c r="AA164" s="4">
        <v>13</v>
      </c>
      <c r="AB164" s="4">
        <v>13</v>
      </c>
      <c r="AC164" s="4">
        <v>20</v>
      </c>
      <c r="AD164" s="4">
        <v>20</v>
      </c>
      <c r="AE164" s="4">
        <v>4</v>
      </c>
      <c r="AF164" s="4">
        <v>4</v>
      </c>
      <c r="AG164" s="4">
        <v>4</v>
      </c>
      <c r="AH164" s="4">
        <v>5</v>
      </c>
      <c r="AI164" s="4">
        <f>AH164-AG164</f>
        <v>1</v>
      </c>
      <c r="AJ164" s="4">
        <v>-10</v>
      </c>
      <c r="AK164" s="4">
        <v>0</v>
      </c>
      <c r="AL164" s="4">
        <v>0</v>
      </c>
      <c r="AM164" s="4">
        <v>0</v>
      </c>
      <c r="AN164" s="4">
        <v>0</v>
      </c>
      <c r="AO164" s="4">
        <v>-2437</v>
      </c>
      <c r="AP164" s="4">
        <v>2437</v>
      </c>
      <c r="AQ164" s="4">
        <v>0</v>
      </c>
      <c r="AR164" s="4">
        <v>0</v>
      </c>
      <c r="AS164" s="4">
        <v>0</v>
      </c>
      <c r="AT164" s="4">
        <v>-14370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9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4">
        <v>0</v>
      </c>
      <c r="BN164" s="4">
        <v>0</v>
      </c>
      <c r="BO164" s="4">
        <v>0</v>
      </c>
      <c r="BP164" s="4">
        <v>0</v>
      </c>
      <c r="BQ164" s="4">
        <v>0</v>
      </c>
      <c r="BR164" s="4">
        <v>0</v>
      </c>
      <c r="BS164" s="4">
        <v>3000</v>
      </c>
      <c r="BT164" s="4">
        <v>-1252</v>
      </c>
      <c r="BU164" s="4">
        <v>-3000</v>
      </c>
      <c r="BV164" s="4">
        <v>0</v>
      </c>
      <c r="BW164" s="4">
        <v>0</v>
      </c>
      <c r="BX164" s="4">
        <v>0</v>
      </c>
      <c r="BY164" s="4">
        <v>0</v>
      </c>
      <c r="BZ164" s="4">
        <v>0</v>
      </c>
      <c r="CA164" s="4">
        <v>0</v>
      </c>
      <c r="CB164" s="4">
        <v>0</v>
      </c>
      <c r="CC164" s="4">
        <v>0</v>
      </c>
      <c r="CD164" s="4">
        <v>0</v>
      </c>
      <c r="CE164" s="4">
        <v>0</v>
      </c>
      <c r="CF164" s="4">
        <v>-10630</v>
      </c>
      <c r="CH164" s="94">
        <f t="shared" si="421"/>
        <v>0</v>
      </c>
      <c r="CI164" s="94">
        <f t="shared" si="421"/>
        <v>0</v>
      </c>
      <c r="CJ164" s="94">
        <f t="shared" si="421"/>
        <v>0</v>
      </c>
      <c r="CK164" s="94">
        <f t="shared" si="421"/>
        <v>1294</v>
      </c>
      <c r="CL164" s="94">
        <f t="shared" si="421"/>
        <v>2057</v>
      </c>
      <c r="CM164" s="94">
        <f t="shared" si="421"/>
        <v>2882</v>
      </c>
      <c r="CN164" s="94">
        <f t="shared" si="421"/>
        <v>1392</v>
      </c>
      <c r="CO164" s="94">
        <f t="shared" si="421"/>
        <v>1983</v>
      </c>
      <c r="CP164" s="94">
        <f t="shared" si="421"/>
        <v>-701</v>
      </c>
      <c r="CQ164" s="94">
        <f t="shared" si="421"/>
        <v>0</v>
      </c>
      <c r="CR164" s="94">
        <f t="shared" si="422"/>
        <v>0</v>
      </c>
      <c r="CS164" s="94">
        <f t="shared" si="422"/>
        <v>0</v>
      </c>
      <c r="CT164" s="94">
        <f t="shared" si="422"/>
        <v>0</v>
      </c>
      <c r="CU164" s="94">
        <f t="shared" si="422"/>
        <v>2304</v>
      </c>
      <c r="CV164" s="94">
        <f t="shared" si="422"/>
        <v>978</v>
      </c>
      <c r="CW164" s="94">
        <f t="shared" si="422"/>
        <v>-462</v>
      </c>
      <c r="CX164" s="94">
        <f t="shared" si="422"/>
        <v>-442</v>
      </c>
      <c r="CY164" s="94">
        <f t="shared" si="422"/>
        <v>-438</v>
      </c>
      <c r="CZ164" s="94">
        <f t="shared" si="422"/>
        <v>9</v>
      </c>
      <c r="DA164" s="94">
        <f t="shared" si="422"/>
        <v>10</v>
      </c>
      <c r="DB164" s="94">
        <f t="shared" si="423"/>
        <v>0</v>
      </c>
      <c r="DC164" s="94">
        <f t="shared" si="423"/>
        <v>0</v>
      </c>
      <c r="DD164" s="94">
        <f t="shared" si="423"/>
        <v>0</v>
      </c>
      <c r="DE164" s="94">
        <f t="shared" si="423"/>
        <v>0</v>
      </c>
      <c r="DF164" s="94">
        <f t="shared" si="423"/>
        <v>0</v>
      </c>
      <c r="DG164" s="94">
        <f t="shared" si="423"/>
        <v>0</v>
      </c>
      <c r="DH164" s="94">
        <f t="shared" si="423"/>
        <v>0</v>
      </c>
      <c r="DI164" s="94">
        <f t="shared" si="423"/>
        <v>-14370</v>
      </c>
      <c r="DJ164" s="94">
        <f t="shared" si="423"/>
        <v>-14370</v>
      </c>
      <c r="DK164" s="94">
        <f t="shared" si="423"/>
        <v>-14370</v>
      </c>
      <c r="DL164" s="94">
        <f t="shared" si="424"/>
        <v>0</v>
      </c>
      <c r="DM164" s="94">
        <f t="shared" si="424"/>
        <v>0</v>
      </c>
      <c r="DN164" s="94">
        <f t="shared" si="424"/>
        <v>0</v>
      </c>
      <c r="DO164" s="94">
        <f t="shared" si="424"/>
        <v>0</v>
      </c>
      <c r="DP164" s="94">
        <f t="shared" si="424"/>
        <v>0</v>
      </c>
      <c r="DQ164" s="94">
        <f t="shared" si="424"/>
        <v>0</v>
      </c>
      <c r="DR164" s="94">
        <f t="shared" si="424"/>
        <v>0</v>
      </c>
      <c r="DS164" s="94">
        <f t="shared" si="424"/>
        <v>0</v>
      </c>
      <c r="DT164" s="94">
        <f t="shared" si="424"/>
        <v>0</v>
      </c>
      <c r="DU164" s="94">
        <f t="shared" si="424"/>
        <v>0</v>
      </c>
      <c r="DV164" s="94">
        <f t="shared" si="425"/>
        <v>0</v>
      </c>
      <c r="DW164" s="94">
        <f t="shared" si="425"/>
        <v>0</v>
      </c>
      <c r="DX164" s="94">
        <f t="shared" si="425"/>
        <v>0</v>
      </c>
      <c r="DY164" s="94">
        <f t="shared" si="425"/>
        <v>0</v>
      </c>
      <c r="DZ164" s="94">
        <f t="shared" si="425"/>
        <v>0</v>
      </c>
      <c r="EA164" s="94">
        <f t="shared" si="425"/>
        <v>0</v>
      </c>
      <c r="EB164" s="94">
        <f t="shared" si="425"/>
        <v>3000</v>
      </c>
      <c r="EC164" s="94">
        <f t="shared" si="425"/>
        <v>1748</v>
      </c>
      <c r="ED164" s="94">
        <f t="shared" si="425"/>
        <v>-3000</v>
      </c>
      <c r="EE164" s="94">
        <f t="shared" si="425"/>
        <v>-3000</v>
      </c>
      <c r="EF164" s="94">
        <f t="shared" si="426"/>
        <v>-3000</v>
      </c>
      <c r="EG164" s="94">
        <f t="shared" si="426"/>
        <v>0</v>
      </c>
      <c r="EH164" s="94">
        <f t="shared" si="426"/>
        <v>0</v>
      </c>
      <c r="EI164" s="94">
        <f t="shared" si="426"/>
        <v>0</v>
      </c>
      <c r="EJ164" s="94">
        <f t="shared" si="426"/>
        <v>0</v>
      </c>
      <c r="EK164" s="94">
        <f t="shared" si="426"/>
        <v>0</v>
      </c>
      <c r="EL164" s="94">
        <f t="shared" si="426"/>
        <v>-10630</v>
      </c>
    </row>
    <row r="165" spans="2:142" x14ac:dyDescent="0.3">
      <c r="B165" s="129" t="s">
        <v>760</v>
      </c>
      <c r="C165" s="129" t="s">
        <v>762</v>
      </c>
      <c r="D165" s="183" t="str">
        <f>IF(Menu!$D$12="PT",'Dados Financeiros'!B165,'Dados Financeiros'!C165)</f>
        <v>Pagamentos de processos para riscos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0</v>
      </c>
      <c r="BH165" s="4">
        <v>0</v>
      </c>
      <c r="BI165" s="4">
        <v>0</v>
      </c>
      <c r="BJ165" s="4">
        <v>0</v>
      </c>
      <c r="BK165" s="4">
        <v>0</v>
      </c>
      <c r="BL165" s="4">
        <v>0</v>
      </c>
      <c r="BM165" s="4">
        <v>0</v>
      </c>
      <c r="BN165" s="4">
        <v>0</v>
      </c>
      <c r="BO165" s="4">
        <v>0</v>
      </c>
      <c r="BP165" s="4">
        <v>0</v>
      </c>
      <c r="BQ165" s="4">
        <v>-5807</v>
      </c>
      <c r="BR165" s="4">
        <v>-7996</v>
      </c>
      <c r="BS165" s="4">
        <v>-5440</v>
      </c>
      <c r="BT165" s="4">
        <v>-8259</v>
      </c>
      <c r="BU165" s="4">
        <v>-2843</v>
      </c>
      <c r="BV165" s="4">
        <v>-2861</v>
      </c>
      <c r="BW165" s="4">
        <v>-3581</v>
      </c>
      <c r="BX165" s="4">
        <v>-3838</v>
      </c>
      <c r="BY165" s="4">
        <v>-1674</v>
      </c>
      <c r="BZ165" s="4">
        <v>-2645</v>
      </c>
      <c r="CA165" s="4">
        <v>-2548</v>
      </c>
      <c r="CB165" s="4">
        <v>-2730</v>
      </c>
      <c r="CC165" s="4">
        <v>-7521</v>
      </c>
      <c r="CD165" s="4">
        <v>1012</v>
      </c>
      <c r="CE165" s="4">
        <v>-4253</v>
      </c>
      <c r="CF165" s="4">
        <v>-4193</v>
      </c>
      <c r="CH165" s="94">
        <f t="shared" si="421"/>
        <v>0</v>
      </c>
      <c r="CI165" s="94">
        <f t="shared" si="421"/>
        <v>0</v>
      </c>
      <c r="CJ165" s="94">
        <f t="shared" si="421"/>
        <v>0</v>
      </c>
      <c r="CK165" s="94">
        <f t="shared" si="421"/>
        <v>0</v>
      </c>
      <c r="CL165" s="94">
        <f t="shared" si="421"/>
        <v>0</v>
      </c>
      <c r="CM165" s="94">
        <f t="shared" si="421"/>
        <v>0</v>
      </c>
      <c r="CN165" s="94">
        <f t="shared" si="421"/>
        <v>0</v>
      </c>
      <c r="CO165" s="94">
        <f t="shared" si="421"/>
        <v>0</v>
      </c>
      <c r="CP165" s="94">
        <f t="shared" si="421"/>
        <v>0</v>
      </c>
      <c r="CQ165" s="94">
        <f t="shared" si="421"/>
        <v>0</v>
      </c>
      <c r="CR165" s="94">
        <f t="shared" si="422"/>
        <v>0</v>
      </c>
      <c r="CS165" s="94">
        <f t="shared" si="422"/>
        <v>0</v>
      </c>
      <c r="CT165" s="94">
        <f t="shared" si="422"/>
        <v>0</v>
      </c>
      <c r="CU165" s="94">
        <f t="shared" si="422"/>
        <v>0</v>
      </c>
      <c r="CV165" s="94">
        <f t="shared" si="422"/>
        <v>0</v>
      </c>
      <c r="CW165" s="94">
        <f t="shared" si="422"/>
        <v>0</v>
      </c>
      <c r="CX165" s="94">
        <f t="shared" si="422"/>
        <v>0</v>
      </c>
      <c r="CY165" s="94">
        <f t="shared" si="422"/>
        <v>0</v>
      </c>
      <c r="CZ165" s="94">
        <f t="shared" si="422"/>
        <v>0</v>
      </c>
      <c r="DA165" s="94">
        <f t="shared" si="422"/>
        <v>0</v>
      </c>
      <c r="DB165" s="94">
        <f t="shared" si="423"/>
        <v>0</v>
      </c>
      <c r="DC165" s="94">
        <f t="shared" si="423"/>
        <v>0</v>
      </c>
      <c r="DD165" s="94">
        <f t="shared" si="423"/>
        <v>0</v>
      </c>
      <c r="DE165" s="94">
        <f t="shared" si="423"/>
        <v>0</v>
      </c>
      <c r="DF165" s="94">
        <f t="shared" si="423"/>
        <v>0</v>
      </c>
      <c r="DG165" s="94">
        <f t="shared" si="423"/>
        <v>0</v>
      </c>
      <c r="DH165" s="94">
        <f t="shared" si="423"/>
        <v>0</v>
      </c>
      <c r="DI165" s="94">
        <f t="shared" si="423"/>
        <v>0</v>
      </c>
      <c r="DJ165" s="94">
        <f t="shared" si="423"/>
        <v>0</v>
      </c>
      <c r="DK165" s="94">
        <f t="shared" si="423"/>
        <v>0</v>
      </c>
      <c r="DL165" s="94">
        <f t="shared" si="424"/>
        <v>0</v>
      </c>
      <c r="DM165" s="94">
        <f t="shared" si="424"/>
        <v>0</v>
      </c>
      <c r="DN165" s="94">
        <f t="shared" si="424"/>
        <v>0</v>
      </c>
      <c r="DO165" s="94">
        <f t="shared" si="424"/>
        <v>0</v>
      </c>
      <c r="DP165" s="94">
        <f t="shared" si="424"/>
        <v>0</v>
      </c>
      <c r="DQ165" s="94">
        <f t="shared" si="424"/>
        <v>0</v>
      </c>
      <c r="DR165" s="94">
        <f t="shared" si="424"/>
        <v>0</v>
      </c>
      <c r="DS165" s="94">
        <f t="shared" si="424"/>
        <v>0</v>
      </c>
      <c r="DT165" s="94">
        <f t="shared" si="424"/>
        <v>0</v>
      </c>
      <c r="DU165" s="94">
        <f t="shared" si="424"/>
        <v>0</v>
      </c>
      <c r="DV165" s="94">
        <f t="shared" si="425"/>
        <v>0</v>
      </c>
      <c r="DW165" s="94">
        <f t="shared" si="425"/>
        <v>0</v>
      </c>
      <c r="DX165" s="94">
        <f t="shared" si="425"/>
        <v>0</v>
      </c>
      <c r="DY165" s="94">
        <f t="shared" si="425"/>
        <v>0</v>
      </c>
      <c r="DZ165" s="94">
        <f t="shared" si="425"/>
        <v>0</v>
      </c>
      <c r="EA165" s="94">
        <f t="shared" si="425"/>
        <v>-13803</v>
      </c>
      <c r="EB165" s="94">
        <f t="shared" si="425"/>
        <v>-19243</v>
      </c>
      <c r="EC165" s="94">
        <f t="shared" si="425"/>
        <v>-27502</v>
      </c>
      <c r="ED165" s="94">
        <f t="shared" si="425"/>
        <v>-5704</v>
      </c>
      <c r="EE165" s="94">
        <f t="shared" si="425"/>
        <v>-9285</v>
      </c>
      <c r="EF165" s="94">
        <f t="shared" si="426"/>
        <v>-13123</v>
      </c>
      <c r="EG165" s="94">
        <f t="shared" si="426"/>
        <v>-4319</v>
      </c>
      <c r="EH165" s="94">
        <f t="shared" si="426"/>
        <v>-6867</v>
      </c>
      <c r="EI165" s="94">
        <f t="shared" si="426"/>
        <v>-9597</v>
      </c>
      <c r="EJ165" s="94">
        <f t="shared" si="426"/>
        <v>-6509</v>
      </c>
      <c r="EK165" s="94">
        <f t="shared" si="426"/>
        <v>-10762</v>
      </c>
      <c r="EL165" s="94">
        <f t="shared" si="426"/>
        <v>-14955</v>
      </c>
    </row>
    <row r="166" spans="2:142" x14ac:dyDescent="0.3">
      <c r="B166" s="129" t="s">
        <v>761</v>
      </c>
      <c r="C166" s="129" t="s">
        <v>763</v>
      </c>
      <c r="D166" s="183" t="str">
        <f>IF(Menu!$D$12="PT",'Dados Financeiros'!B166,'Dados Financeiros'!C166)</f>
        <v>Pagamento de garantias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4">
        <v>0</v>
      </c>
      <c r="BH166" s="4">
        <v>0</v>
      </c>
      <c r="BI166" s="4">
        <v>0</v>
      </c>
      <c r="BJ166" s="4">
        <v>0</v>
      </c>
      <c r="BK166" s="4">
        <v>0</v>
      </c>
      <c r="BL166" s="4">
        <v>0</v>
      </c>
      <c r="BM166" s="4">
        <v>0</v>
      </c>
      <c r="BN166" s="4">
        <v>0</v>
      </c>
      <c r="BO166" s="4">
        <v>0</v>
      </c>
      <c r="BP166" s="4">
        <v>0</v>
      </c>
      <c r="BQ166" s="4">
        <v>-576</v>
      </c>
      <c r="BR166" s="4">
        <v>-2272</v>
      </c>
      <c r="BS166" s="4">
        <v>-910</v>
      </c>
      <c r="BT166" s="4">
        <v>-1130</v>
      </c>
      <c r="BU166" s="4">
        <v>-729</v>
      </c>
      <c r="BV166" s="4">
        <v>-1101</v>
      </c>
      <c r="BW166" s="4">
        <v>-481</v>
      </c>
      <c r="BX166" s="4">
        <v>73</v>
      </c>
      <c r="BY166" s="4">
        <v>-2281</v>
      </c>
      <c r="BZ166" s="4">
        <v>-2534</v>
      </c>
      <c r="CA166" s="4">
        <v>-1996</v>
      </c>
      <c r="CB166" s="4">
        <v>-1745</v>
      </c>
      <c r="CC166" s="4">
        <v>-699</v>
      </c>
      <c r="CD166" s="4">
        <v>-115</v>
      </c>
      <c r="CE166" s="4">
        <v>-2254</v>
      </c>
      <c r="CF166" s="4">
        <v>-1114</v>
      </c>
      <c r="CH166" s="94">
        <f t="shared" si="421"/>
        <v>0</v>
      </c>
      <c r="CI166" s="94">
        <f t="shared" si="421"/>
        <v>0</v>
      </c>
      <c r="CJ166" s="94">
        <f t="shared" si="421"/>
        <v>0</v>
      </c>
      <c r="CK166" s="94">
        <f t="shared" si="421"/>
        <v>0</v>
      </c>
      <c r="CL166" s="94">
        <f t="shared" si="421"/>
        <v>0</v>
      </c>
      <c r="CM166" s="94">
        <f t="shared" si="421"/>
        <v>0</v>
      </c>
      <c r="CN166" s="94">
        <f t="shared" si="421"/>
        <v>0</v>
      </c>
      <c r="CO166" s="94">
        <f t="shared" si="421"/>
        <v>0</v>
      </c>
      <c r="CP166" s="94">
        <f t="shared" si="421"/>
        <v>0</v>
      </c>
      <c r="CQ166" s="94">
        <f t="shared" si="421"/>
        <v>0</v>
      </c>
      <c r="CR166" s="94">
        <f t="shared" si="422"/>
        <v>0</v>
      </c>
      <c r="CS166" s="94">
        <f t="shared" si="422"/>
        <v>0</v>
      </c>
      <c r="CT166" s="94">
        <f t="shared" si="422"/>
        <v>0</v>
      </c>
      <c r="CU166" s="94">
        <f t="shared" si="422"/>
        <v>0</v>
      </c>
      <c r="CV166" s="94">
        <f t="shared" si="422"/>
        <v>0</v>
      </c>
      <c r="CW166" s="94">
        <f t="shared" si="422"/>
        <v>0</v>
      </c>
      <c r="CX166" s="94">
        <f t="shared" si="422"/>
        <v>0</v>
      </c>
      <c r="CY166" s="94">
        <f t="shared" si="422"/>
        <v>0</v>
      </c>
      <c r="CZ166" s="94">
        <f t="shared" si="422"/>
        <v>0</v>
      </c>
      <c r="DA166" s="94">
        <f t="shared" si="422"/>
        <v>0</v>
      </c>
      <c r="DB166" s="94">
        <f t="shared" si="423"/>
        <v>0</v>
      </c>
      <c r="DC166" s="94">
        <f t="shared" si="423"/>
        <v>0</v>
      </c>
      <c r="DD166" s="94">
        <f t="shared" si="423"/>
        <v>0</v>
      </c>
      <c r="DE166" s="94">
        <f t="shared" si="423"/>
        <v>0</v>
      </c>
      <c r="DF166" s="94">
        <f t="shared" si="423"/>
        <v>0</v>
      </c>
      <c r="DG166" s="94">
        <f t="shared" si="423"/>
        <v>0</v>
      </c>
      <c r="DH166" s="94">
        <f t="shared" si="423"/>
        <v>0</v>
      </c>
      <c r="DI166" s="94">
        <f t="shared" si="423"/>
        <v>0</v>
      </c>
      <c r="DJ166" s="94">
        <f t="shared" si="423"/>
        <v>0</v>
      </c>
      <c r="DK166" s="94">
        <f t="shared" si="423"/>
        <v>0</v>
      </c>
      <c r="DL166" s="94">
        <f t="shared" si="424"/>
        <v>0</v>
      </c>
      <c r="DM166" s="94">
        <f t="shared" si="424"/>
        <v>0</v>
      </c>
      <c r="DN166" s="94">
        <f t="shared" si="424"/>
        <v>0</v>
      </c>
      <c r="DO166" s="94">
        <f t="shared" si="424"/>
        <v>0</v>
      </c>
      <c r="DP166" s="94">
        <f t="shared" si="424"/>
        <v>0</v>
      </c>
      <c r="DQ166" s="94">
        <f t="shared" si="424"/>
        <v>0</v>
      </c>
      <c r="DR166" s="94">
        <f t="shared" si="424"/>
        <v>0</v>
      </c>
      <c r="DS166" s="94">
        <f t="shared" si="424"/>
        <v>0</v>
      </c>
      <c r="DT166" s="94">
        <f t="shared" si="424"/>
        <v>0</v>
      </c>
      <c r="DU166" s="94">
        <f t="shared" si="424"/>
        <v>0</v>
      </c>
      <c r="DV166" s="94">
        <f t="shared" si="425"/>
        <v>0</v>
      </c>
      <c r="DW166" s="94">
        <f t="shared" si="425"/>
        <v>0</v>
      </c>
      <c r="DX166" s="94">
        <f t="shared" si="425"/>
        <v>0</v>
      </c>
      <c r="DY166" s="94">
        <f t="shared" si="425"/>
        <v>0</v>
      </c>
      <c r="DZ166" s="94">
        <f t="shared" si="425"/>
        <v>0</v>
      </c>
      <c r="EA166" s="94">
        <f t="shared" si="425"/>
        <v>-2848</v>
      </c>
      <c r="EB166" s="94">
        <f t="shared" si="425"/>
        <v>-3758</v>
      </c>
      <c r="EC166" s="94">
        <f t="shared" si="425"/>
        <v>-4888</v>
      </c>
      <c r="ED166" s="94">
        <f t="shared" si="425"/>
        <v>-1830</v>
      </c>
      <c r="EE166" s="94">
        <f t="shared" si="425"/>
        <v>-2311</v>
      </c>
      <c r="EF166" s="94">
        <f t="shared" si="426"/>
        <v>-2238</v>
      </c>
      <c r="EG166" s="94">
        <f t="shared" si="426"/>
        <v>-4815</v>
      </c>
      <c r="EH166" s="94">
        <f t="shared" si="426"/>
        <v>-6811</v>
      </c>
      <c r="EI166" s="94">
        <f t="shared" si="426"/>
        <v>-8556</v>
      </c>
      <c r="EJ166" s="94">
        <f t="shared" si="426"/>
        <v>-814</v>
      </c>
      <c r="EK166" s="94">
        <f t="shared" si="426"/>
        <v>-3068</v>
      </c>
      <c r="EL166" s="94">
        <f t="shared" si="426"/>
        <v>-4182</v>
      </c>
    </row>
    <row r="167" spans="2:142" ht="14.4" thickBot="1" x14ac:dyDescent="0.35">
      <c r="B167" s="130" t="s">
        <v>610</v>
      </c>
      <c r="C167" s="130" t="s">
        <v>481</v>
      </c>
      <c r="D167" s="200" t="str">
        <f>IF(Menu!$D$12="PT",'Dados Financeiros'!B167,'Dados Financeiros'!C167)</f>
        <v>Outras contas a pagar - FCX</v>
      </c>
      <c r="E167" s="3">
        <v>-7979</v>
      </c>
      <c r="F167" s="3">
        <v>3841</v>
      </c>
      <c r="G167" s="3">
        <v>4234</v>
      </c>
      <c r="H167" s="3">
        <v>29121</v>
      </c>
      <c r="I167" s="3">
        <v>-14336</v>
      </c>
      <c r="J167" s="3">
        <v>5214</v>
      </c>
      <c r="K167" s="3">
        <v>-2106</v>
      </c>
      <c r="L167" s="3">
        <v>3740</v>
      </c>
      <c r="M167" s="3">
        <v>-3243</v>
      </c>
      <c r="N167" s="3">
        <v>-2131</v>
      </c>
      <c r="O167" s="3">
        <v>1339</v>
      </c>
      <c r="P167" s="3">
        <v>-4434</v>
      </c>
      <c r="Q167" s="3">
        <v>-450</v>
      </c>
      <c r="R167" s="3">
        <v>2202</v>
      </c>
      <c r="S167" s="3">
        <v>819</v>
      </c>
      <c r="T167" s="3">
        <v>-119</v>
      </c>
      <c r="U167" s="3">
        <v>-5</v>
      </c>
      <c r="V167" s="3">
        <v>-69</v>
      </c>
      <c r="W167" s="3">
        <v>800</v>
      </c>
      <c r="X167" s="3">
        <f>3545+-23142+2108</f>
        <v>-17489</v>
      </c>
      <c r="Y167" s="3">
        <v>1478</v>
      </c>
      <c r="Z167" s="3">
        <v>476</v>
      </c>
      <c r="AA167" s="3">
        <v>11008</v>
      </c>
      <c r="AB167" s="3">
        <v>-321</v>
      </c>
      <c r="AC167" s="3">
        <v>2443</v>
      </c>
      <c r="AD167" s="3">
        <v>-225</v>
      </c>
      <c r="AE167" s="3">
        <v>-9416</v>
      </c>
      <c r="AF167" s="3">
        <v>3944</v>
      </c>
      <c r="AG167" s="3">
        <v>-42</v>
      </c>
      <c r="AH167" s="3">
        <v>-3058</v>
      </c>
      <c r="AI167" s="3">
        <v>4241</v>
      </c>
      <c r="AJ167" s="3">
        <v>-2125</v>
      </c>
      <c r="AK167" s="3">
        <v>443</v>
      </c>
      <c r="AL167" s="3">
        <v>3143</v>
      </c>
      <c r="AM167" s="3">
        <v>3350</v>
      </c>
      <c r="AN167" s="3">
        <v>-4686</v>
      </c>
      <c r="AO167" s="3">
        <v>2547</v>
      </c>
      <c r="AP167" s="3">
        <v>-2883</v>
      </c>
      <c r="AQ167" s="3">
        <v>4578</v>
      </c>
      <c r="AR167" s="3">
        <v>10841</v>
      </c>
      <c r="AS167" s="3">
        <v>-9981</v>
      </c>
      <c r="AT167" s="3">
        <v>-6956</v>
      </c>
      <c r="AU167" s="3">
        <v>7446</v>
      </c>
      <c r="AV167" s="3">
        <v>24688</v>
      </c>
      <c r="AW167" s="3">
        <v>-15111</v>
      </c>
      <c r="AX167" s="3">
        <v>-11768</v>
      </c>
      <c r="AY167" s="3">
        <v>2107</v>
      </c>
      <c r="AZ167" s="3">
        <v>-13333</v>
      </c>
      <c r="BA167" s="3">
        <v>4852</v>
      </c>
      <c r="BB167" s="3">
        <v>770</v>
      </c>
      <c r="BC167" s="3">
        <v>11903</v>
      </c>
      <c r="BD167" s="3">
        <v>708</v>
      </c>
      <c r="BE167" s="3">
        <v>6603</v>
      </c>
      <c r="BF167" s="3">
        <v>-4231</v>
      </c>
      <c r="BG167" s="3">
        <v>-3390</v>
      </c>
      <c r="BH167" s="3">
        <v>-9242</v>
      </c>
      <c r="BI167" s="3">
        <v>-4942</v>
      </c>
      <c r="BJ167" s="3">
        <v>10232</v>
      </c>
      <c r="BK167" s="3">
        <v>-6380</v>
      </c>
      <c r="BL167" s="3">
        <v>-4733</v>
      </c>
      <c r="BM167" s="3">
        <v>-9537</v>
      </c>
      <c r="BN167" s="3">
        <v>-1698</v>
      </c>
      <c r="BO167" s="3">
        <v>-9065</v>
      </c>
      <c r="BP167" s="3">
        <v>-3737</v>
      </c>
      <c r="BQ167" s="3">
        <v>-973</v>
      </c>
      <c r="BR167" s="3">
        <v>961</v>
      </c>
      <c r="BS167" s="3">
        <v>-2590</v>
      </c>
      <c r="BT167" s="3">
        <v>-859</v>
      </c>
      <c r="BU167" s="3">
        <v>-3400</v>
      </c>
      <c r="BV167" s="3">
        <v>6827</v>
      </c>
      <c r="BW167" s="3">
        <v>-6877</v>
      </c>
      <c r="BX167" s="3">
        <v>4915</v>
      </c>
      <c r="BY167" s="3">
        <v>-7393</v>
      </c>
      <c r="BZ167" s="3">
        <v>-1973</v>
      </c>
      <c r="CA167" s="3">
        <v>-966</v>
      </c>
      <c r="CB167" s="3">
        <v>32770</v>
      </c>
      <c r="CC167" s="3">
        <v>-393</v>
      </c>
      <c r="CD167" s="3">
        <v>-6657</v>
      </c>
      <c r="CE167" s="3">
        <v>-7611</v>
      </c>
      <c r="CF167" s="3">
        <v>-1433</v>
      </c>
      <c r="CH167" s="3">
        <f t="shared" si="421"/>
        <v>-4138</v>
      </c>
      <c r="CI167" s="3">
        <f t="shared" si="421"/>
        <v>96</v>
      </c>
      <c r="CJ167" s="3">
        <f t="shared" si="421"/>
        <v>29217</v>
      </c>
      <c r="CK167" s="3">
        <f t="shared" si="421"/>
        <v>-9122</v>
      </c>
      <c r="CL167" s="3">
        <f t="shared" si="421"/>
        <v>-11228</v>
      </c>
      <c r="CM167" s="3">
        <f t="shared" si="421"/>
        <v>-7488</v>
      </c>
      <c r="CN167" s="3">
        <f t="shared" si="421"/>
        <v>-5374</v>
      </c>
      <c r="CO167" s="3">
        <f t="shared" si="421"/>
        <v>-4035</v>
      </c>
      <c r="CP167" s="3">
        <f t="shared" si="421"/>
        <v>-8469</v>
      </c>
      <c r="CQ167" s="3">
        <f t="shared" si="421"/>
        <v>1752</v>
      </c>
      <c r="CR167" s="3">
        <f t="shared" si="422"/>
        <v>2571</v>
      </c>
      <c r="CS167" s="3">
        <f t="shared" si="422"/>
        <v>2452</v>
      </c>
      <c r="CT167" s="3">
        <f t="shared" si="422"/>
        <v>-74</v>
      </c>
      <c r="CU167" s="3">
        <f t="shared" si="422"/>
        <v>726</v>
      </c>
      <c r="CV167" s="3">
        <f t="shared" si="422"/>
        <v>-16763</v>
      </c>
      <c r="CW167" s="3">
        <f t="shared" si="422"/>
        <v>155</v>
      </c>
      <c r="CX167" s="3">
        <f t="shared" si="422"/>
        <v>-70</v>
      </c>
      <c r="CY167" s="3">
        <f t="shared" si="422"/>
        <v>3874</v>
      </c>
      <c r="CZ167" s="3">
        <f t="shared" si="422"/>
        <v>-3100</v>
      </c>
      <c r="DA167" s="3">
        <f t="shared" si="422"/>
        <v>1141</v>
      </c>
      <c r="DB167" s="3">
        <f t="shared" si="423"/>
        <v>-984</v>
      </c>
      <c r="DC167" s="3">
        <f t="shared" si="423"/>
        <v>3586</v>
      </c>
      <c r="DD167" s="3">
        <f t="shared" si="423"/>
        <v>6936</v>
      </c>
      <c r="DE167" s="3">
        <f t="shared" si="423"/>
        <v>2250</v>
      </c>
      <c r="DF167" s="3">
        <f t="shared" si="423"/>
        <v>-336</v>
      </c>
      <c r="DG167" s="3">
        <f t="shared" si="423"/>
        <v>4242</v>
      </c>
      <c r="DH167" s="3">
        <f t="shared" si="423"/>
        <v>15083</v>
      </c>
      <c r="DI167" s="3">
        <f t="shared" si="423"/>
        <v>-16937</v>
      </c>
      <c r="DJ167" s="3">
        <f t="shared" si="423"/>
        <v>-9491</v>
      </c>
      <c r="DK167" s="3">
        <f t="shared" si="423"/>
        <v>15197</v>
      </c>
      <c r="DL167" s="3">
        <f t="shared" si="424"/>
        <v>-26879</v>
      </c>
      <c r="DM167" s="3">
        <f t="shared" si="424"/>
        <v>-24772</v>
      </c>
      <c r="DN167" s="3">
        <f t="shared" si="424"/>
        <v>-38105</v>
      </c>
      <c r="DO167" s="3">
        <f t="shared" si="424"/>
        <v>5622</v>
      </c>
      <c r="DP167" s="3">
        <f t="shared" si="424"/>
        <v>17525</v>
      </c>
      <c r="DQ167" s="3">
        <f t="shared" si="424"/>
        <v>18233</v>
      </c>
      <c r="DR167" s="3">
        <f t="shared" si="424"/>
        <v>2372</v>
      </c>
      <c r="DS167" s="3">
        <f t="shared" si="424"/>
        <v>-1018</v>
      </c>
      <c r="DT167" s="3">
        <f t="shared" si="424"/>
        <v>-10260</v>
      </c>
      <c r="DU167" s="3">
        <f t="shared" si="424"/>
        <v>5290</v>
      </c>
      <c r="DV167" s="3">
        <f t="shared" si="425"/>
        <v>-1090</v>
      </c>
      <c r="DW167" s="3">
        <f t="shared" si="425"/>
        <v>-5823</v>
      </c>
      <c r="DX167" s="3">
        <f t="shared" si="425"/>
        <v>-11235</v>
      </c>
      <c r="DY167" s="3">
        <f t="shared" si="425"/>
        <v>-20300</v>
      </c>
      <c r="DZ167" s="3">
        <f t="shared" si="425"/>
        <v>-24037</v>
      </c>
      <c r="EA167" s="3">
        <f t="shared" si="425"/>
        <v>-12</v>
      </c>
      <c r="EB167" s="3">
        <f t="shared" si="425"/>
        <v>-2602</v>
      </c>
      <c r="EC167" s="3">
        <f t="shared" si="425"/>
        <v>-3461</v>
      </c>
      <c r="ED167" s="3">
        <f t="shared" si="425"/>
        <v>3427</v>
      </c>
      <c r="EE167" s="3">
        <f t="shared" si="425"/>
        <v>-3450</v>
      </c>
      <c r="EF167" s="3">
        <f t="shared" si="426"/>
        <v>1465</v>
      </c>
      <c r="EG167" s="3">
        <f t="shared" si="426"/>
        <v>-9366</v>
      </c>
      <c r="EH167" s="3">
        <f t="shared" si="426"/>
        <v>-10332</v>
      </c>
      <c r="EI167" s="3">
        <f t="shared" si="426"/>
        <v>22438</v>
      </c>
      <c r="EJ167" s="3">
        <f t="shared" si="426"/>
        <v>-7050</v>
      </c>
      <c r="EK167" s="3">
        <f t="shared" si="426"/>
        <v>-14661</v>
      </c>
      <c r="EL167" s="3">
        <f t="shared" si="426"/>
        <v>-16094</v>
      </c>
    </row>
    <row r="168" spans="2:142" x14ac:dyDescent="0.3">
      <c r="B168" s="19"/>
      <c r="C168" s="19"/>
      <c r="D168" s="202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H168" s="136"/>
      <c r="CI168" s="136"/>
      <c r="CJ168" s="136"/>
      <c r="CK168" s="136"/>
      <c r="CL168" s="136"/>
      <c r="CM168" s="136"/>
      <c r="CN168" s="136"/>
      <c r="CO168" s="136"/>
      <c r="CP168" s="136"/>
      <c r="CQ168" s="136"/>
      <c r="CR168" s="136"/>
      <c r="CS168" s="136"/>
      <c r="CT168" s="136"/>
      <c r="CU168" s="136"/>
      <c r="CV168" s="136"/>
      <c r="CW168" s="136"/>
      <c r="CX168" s="136"/>
      <c r="CY168" s="136"/>
      <c r="CZ168" s="136"/>
      <c r="DA168" s="136"/>
      <c r="DB168" s="136"/>
      <c r="DC168" s="136"/>
      <c r="DD168" s="136"/>
      <c r="DE168" s="136"/>
      <c r="DF168" s="136"/>
      <c r="DG168" s="136"/>
      <c r="DH168" s="136"/>
      <c r="DI168" s="136"/>
      <c r="DJ168" s="136"/>
      <c r="DK168" s="136"/>
      <c r="DL168" s="136"/>
      <c r="DM168" s="136"/>
      <c r="DN168" s="136"/>
      <c r="DO168" s="136"/>
      <c r="DP168" s="136"/>
      <c r="DQ168" s="136"/>
      <c r="DR168" s="136"/>
      <c r="DS168" s="136"/>
      <c r="DT168" s="136"/>
      <c r="DU168" s="136"/>
      <c r="DV168" s="136"/>
      <c r="DW168" s="136"/>
      <c r="DX168" s="136"/>
      <c r="DY168" s="136"/>
      <c r="DZ168" s="136"/>
      <c r="EA168" s="136"/>
      <c r="EB168" s="136"/>
      <c r="EC168" s="136"/>
      <c r="ED168" s="136"/>
      <c r="EE168" s="136"/>
      <c r="EF168" s="136"/>
      <c r="EG168" s="136"/>
      <c r="EH168" s="136"/>
      <c r="EI168" s="136"/>
      <c r="EJ168" s="136"/>
      <c r="EK168" s="136"/>
      <c r="EL168" s="136"/>
    </row>
    <row r="169" spans="2:142" ht="14.4" thickBot="1" x14ac:dyDescent="0.35">
      <c r="B169" s="8" t="s">
        <v>29</v>
      </c>
      <c r="C169" s="8" t="s">
        <v>482</v>
      </c>
      <c r="D169" s="198" t="str">
        <f>IF(Menu!$D$12="PT",'Dados Financeiros'!B169,'Dados Financeiros'!C169)</f>
        <v>Disponibilidades líquidas (aplicadas nas) geradas pelas atividades operacionais</v>
      </c>
      <c r="E169" s="7">
        <f t="shared" ref="E169:AJ169" si="427">E125+E129+E147</f>
        <v>-80213</v>
      </c>
      <c r="F169" s="7">
        <f t="shared" si="427"/>
        <v>-195223</v>
      </c>
      <c r="G169" s="7">
        <f t="shared" si="427"/>
        <v>-71085</v>
      </c>
      <c r="H169" s="7">
        <f t="shared" si="427"/>
        <v>-76245</v>
      </c>
      <c r="I169" s="7">
        <f t="shared" si="427"/>
        <v>-24772</v>
      </c>
      <c r="J169" s="7">
        <f t="shared" si="427"/>
        <v>-22799</v>
      </c>
      <c r="K169" s="7">
        <f t="shared" si="427"/>
        <v>-37283</v>
      </c>
      <c r="L169" s="7">
        <f t="shared" si="427"/>
        <v>-63309</v>
      </c>
      <c r="M169" s="7">
        <f t="shared" si="427"/>
        <v>-18099</v>
      </c>
      <c r="N169" s="7">
        <f t="shared" si="427"/>
        <v>-23098</v>
      </c>
      <c r="O169" s="7">
        <f t="shared" si="427"/>
        <v>-61234</v>
      </c>
      <c r="P169" s="7">
        <f t="shared" si="427"/>
        <v>-73794</v>
      </c>
      <c r="Q169" s="7">
        <f t="shared" si="427"/>
        <v>-87173</v>
      </c>
      <c r="R169" s="7">
        <f t="shared" si="427"/>
        <v>-44304</v>
      </c>
      <c r="S169" s="7">
        <f t="shared" si="427"/>
        <v>-97560</v>
      </c>
      <c r="T169" s="7">
        <f t="shared" si="427"/>
        <v>-127907</v>
      </c>
      <c r="U169" s="7">
        <f t="shared" si="427"/>
        <v>-63428</v>
      </c>
      <c r="V169" s="7">
        <f t="shared" si="427"/>
        <v>47131</v>
      </c>
      <c r="W169" s="7">
        <f t="shared" si="427"/>
        <v>-36352</v>
      </c>
      <c r="X169" s="7">
        <f t="shared" si="427"/>
        <v>3687</v>
      </c>
      <c r="Y169" s="7">
        <f t="shared" si="427"/>
        <v>-32410</v>
      </c>
      <c r="Z169" s="7">
        <f t="shared" si="427"/>
        <v>-56655</v>
      </c>
      <c r="AA169" s="7">
        <f t="shared" si="427"/>
        <v>-11631</v>
      </c>
      <c r="AB169" s="7">
        <f t="shared" si="427"/>
        <v>-57871</v>
      </c>
      <c r="AC169" s="7">
        <f t="shared" si="427"/>
        <v>-58436</v>
      </c>
      <c r="AD169" s="7">
        <f t="shared" si="427"/>
        <v>-96314</v>
      </c>
      <c r="AE169" s="7">
        <f t="shared" si="427"/>
        <v>-144304</v>
      </c>
      <c r="AF169" s="7">
        <f t="shared" si="427"/>
        <v>-144272</v>
      </c>
      <c r="AG169" s="7">
        <f t="shared" si="427"/>
        <v>-18186</v>
      </c>
      <c r="AH169" s="7">
        <f t="shared" si="427"/>
        <v>23713</v>
      </c>
      <c r="AI169" s="7">
        <f t="shared" si="427"/>
        <v>-110039</v>
      </c>
      <c r="AJ169" s="7">
        <f t="shared" si="427"/>
        <v>84135</v>
      </c>
      <c r="AK169" s="7">
        <f t="shared" ref="AK169:BN169" si="428">AK127+AK129+AK147</f>
        <v>-185036</v>
      </c>
      <c r="AL169" s="7">
        <f t="shared" si="428"/>
        <v>43576</v>
      </c>
      <c r="AM169" s="7">
        <f t="shared" si="428"/>
        <v>-32793</v>
      </c>
      <c r="AN169" s="7">
        <f t="shared" si="428"/>
        <v>142623</v>
      </c>
      <c r="AO169" s="7">
        <f t="shared" si="428"/>
        <v>96071</v>
      </c>
      <c r="AP169" s="7">
        <f t="shared" si="428"/>
        <v>96929</v>
      </c>
      <c r="AQ169" s="7">
        <f t="shared" si="428"/>
        <v>66483</v>
      </c>
      <c r="AR169" s="7">
        <f t="shared" si="428"/>
        <v>89717</v>
      </c>
      <c r="AS169" s="7">
        <f t="shared" si="428"/>
        <v>-26647</v>
      </c>
      <c r="AT169" s="7">
        <f t="shared" si="428"/>
        <v>-36493</v>
      </c>
      <c r="AU169" s="7">
        <f t="shared" si="428"/>
        <v>-30666</v>
      </c>
      <c r="AV169" s="7">
        <f t="shared" si="428"/>
        <v>137512</v>
      </c>
      <c r="AW169" s="7">
        <f t="shared" si="428"/>
        <v>6713</v>
      </c>
      <c r="AX169" s="7">
        <f t="shared" si="428"/>
        <v>107395</v>
      </c>
      <c r="AY169" s="7">
        <f t="shared" si="428"/>
        <v>837</v>
      </c>
      <c r="AZ169" s="7">
        <f t="shared" si="428"/>
        <v>31023</v>
      </c>
      <c r="BA169" s="7">
        <f t="shared" si="428"/>
        <v>39737</v>
      </c>
      <c r="BB169" s="7">
        <f t="shared" si="428"/>
        <v>31882</v>
      </c>
      <c r="BC169" s="7">
        <f t="shared" si="428"/>
        <v>31295</v>
      </c>
      <c r="BD169" s="7">
        <f t="shared" si="428"/>
        <v>-7005</v>
      </c>
      <c r="BE169" s="7">
        <f t="shared" si="428"/>
        <v>74612</v>
      </c>
      <c r="BF169" s="7">
        <f t="shared" si="428"/>
        <v>8975</v>
      </c>
      <c r="BG169" s="7">
        <f t="shared" si="428"/>
        <v>7712</v>
      </c>
      <c r="BH169" s="7">
        <f t="shared" si="428"/>
        <v>22863</v>
      </c>
      <c r="BI169" s="7">
        <f t="shared" si="428"/>
        <v>-74439</v>
      </c>
      <c r="BJ169" s="7">
        <f t="shared" si="428"/>
        <v>-4986</v>
      </c>
      <c r="BK169" s="7">
        <f t="shared" si="428"/>
        <v>-91050</v>
      </c>
      <c r="BL169" s="7">
        <f t="shared" si="428"/>
        <v>-82307</v>
      </c>
      <c r="BM169" s="7">
        <f t="shared" si="428"/>
        <v>-22691</v>
      </c>
      <c r="BN169" s="7">
        <f t="shared" si="428"/>
        <v>-148279</v>
      </c>
      <c r="BO169" s="7">
        <v>34332.5</v>
      </c>
      <c r="BP169" s="7">
        <f>BP127+BP129+BP147</f>
        <v>-30482.489999999998</v>
      </c>
      <c r="BQ169" s="7">
        <f>BQ127+BQ129+BQ147</f>
        <v>-15815</v>
      </c>
      <c r="BR169" s="7">
        <f>SUM(BR147,BR129,BR127)</f>
        <v>-13578</v>
      </c>
      <c r="BS169" s="7">
        <f>SUM(BS147,BS129,BS127)</f>
        <v>-35678</v>
      </c>
      <c r="BT169" s="7">
        <f>SUM(BT147,BT129,BT127)</f>
        <v>53666</v>
      </c>
      <c r="BU169" s="7">
        <f>SUM(BU147,BU129,BU127)</f>
        <v>-10371</v>
      </c>
      <c r="BV169" s="7">
        <v>-24397</v>
      </c>
      <c r="BW169" s="7">
        <v>-45861</v>
      </c>
      <c r="BX169" s="7">
        <f t="shared" ref="BX169:CC169" si="429">+BX147+BX129+BX127</f>
        <v>-79891</v>
      </c>
      <c r="BY169" s="7">
        <f t="shared" si="429"/>
        <v>12899</v>
      </c>
      <c r="BZ169" s="7">
        <f t="shared" si="429"/>
        <v>62444</v>
      </c>
      <c r="CA169" s="7">
        <f t="shared" si="429"/>
        <v>29572</v>
      </c>
      <c r="CB169" s="7">
        <f t="shared" si="429"/>
        <v>1370.0000000000146</v>
      </c>
      <c r="CC169" s="7">
        <f t="shared" si="429"/>
        <v>58720</v>
      </c>
      <c r="CD169" s="7">
        <f t="shared" ref="CD169:CE169" si="430">+CD147+CD129+CD127</f>
        <v>-39664</v>
      </c>
      <c r="CE169" s="7">
        <f t="shared" si="430"/>
        <v>-12399</v>
      </c>
      <c r="CF169" s="7">
        <f t="shared" ref="CF169" si="431">+CF147+CF129+CF127</f>
        <v>5732</v>
      </c>
      <c r="CH169" s="7">
        <f t="shared" ref="CH169:DA169" si="432">CH125+CH129+CH147</f>
        <v>-275436</v>
      </c>
      <c r="CI169" s="7">
        <f t="shared" si="432"/>
        <v>-346521</v>
      </c>
      <c r="CJ169" s="7">
        <f t="shared" si="432"/>
        <v>-422766</v>
      </c>
      <c r="CK169" s="7">
        <f t="shared" si="432"/>
        <v>-47571</v>
      </c>
      <c r="CL169" s="7">
        <f t="shared" si="432"/>
        <v>-84854</v>
      </c>
      <c r="CM169" s="7">
        <f t="shared" si="432"/>
        <v>-148163</v>
      </c>
      <c r="CN169" s="7">
        <f t="shared" si="432"/>
        <v>-41197</v>
      </c>
      <c r="CO169" s="7">
        <f t="shared" si="432"/>
        <v>-102431</v>
      </c>
      <c r="CP169" s="7">
        <f t="shared" si="432"/>
        <v>-176225</v>
      </c>
      <c r="CQ169" s="7">
        <f t="shared" si="432"/>
        <v>-131477</v>
      </c>
      <c r="CR169" s="7">
        <f t="shared" si="432"/>
        <v>-229037</v>
      </c>
      <c r="CS169" s="7">
        <f t="shared" si="432"/>
        <v>-356944</v>
      </c>
      <c r="CT169" s="7">
        <f t="shared" si="432"/>
        <v>-16297</v>
      </c>
      <c r="CU169" s="7">
        <f t="shared" si="432"/>
        <v>-52649</v>
      </c>
      <c r="CV169" s="7">
        <f t="shared" si="432"/>
        <v>-48962</v>
      </c>
      <c r="CW169" s="7">
        <f t="shared" si="432"/>
        <v>-114526</v>
      </c>
      <c r="CX169" s="7">
        <f t="shared" si="432"/>
        <v>-210840</v>
      </c>
      <c r="CY169" s="7">
        <f t="shared" si="432"/>
        <v>-355112</v>
      </c>
      <c r="CZ169" s="7">
        <f t="shared" si="432"/>
        <v>5527</v>
      </c>
      <c r="DA169" s="7">
        <f t="shared" si="432"/>
        <v>-104512</v>
      </c>
      <c r="DB169" s="7">
        <f>DB125+DB129+DB147</f>
        <v>-20377</v>
      </c>
      <c r="DC169" s="7">
        <f t="shared" ref="DC169:DS169" si="433">DC127+DC129+DC147</f>
        <v>-141460</v>
      </c>
      <c r="DD169" s="7">
        <f t="shared" si="433"/>
        <v>-174253</v>
      </c>
      <c r="DE169" s="7">
        <f t="shared" si="433"/>
        <v>-31630</v>
      </c>
      <c r="DF169" s="7">
        <f t="shared" si="433"/>
        <v>193000</v>
      </c>
      <c r="DG169" s="7">
        <f t="shared" si="433"/>
        <v>259483</v>
      </c>
      <c r="DH169" s="7">
        <f t="shared" si="433"/>
        <v>349200</v>
      </c>
      <c r="DI169" s="7">
        <f t="shared" si="433"/>
        <v>-63140</v>
      </c>
      <c r="DJ169" s="7">
        <f t="shared" si="433"/>
        <v>-93806</v>
      </c>
      <c r="DK169" s="7">
        <f t="shared" si="433"/>
        <v>43706</v>
      </c>
      <c r="DL169" s="7">
        <f t="shared" si="433"/>
        <v>114108</v>
      </c>
      <c r="DM169" s="7">
        <f t="shared" si="433"/>
        <v>114945</v>
      </c>
      <c r="DN169" s="7">
        <f t="shared" si="433"/>
        <v>145968</v>
      </c>
      <c r="DO169" s="7">
        <f t="shared" si="433"/>
        <v>71619</v>
      </c>
      <c r="DP169" s="7">
        <f t="shared" si="433"/>
        <v>102914</v>
      </c>
      <c r="DQ169" s="7">
        <f t="shared" si="433"/>
        <v>95909</v>
      </c>
      <c r="DR169" s="7">
        <f t="shared" si="433"/>
        <v>83587</v>
      </c>
      <c r="DS169" s="7">
        <f t="shared" si="433"/>
        <v>91299</v>
      </c>
      <c r="DT169" s="7">
        <f>DT127+DT129+DT147</f>
        <v>114162</v>
      </c>
      <c r="DU169" s="7">
        <f>DU127+DU129+DU147</f>
        <v>-79425</v>
      </c>
      <c r="DV169" s="7">
        <f t="shared" ref="DV169:DW169" si="434">DV127+DV129+DV147</f>
        <v>-170475</v>
      </c>
      <c r="DW169" s="7">
        <f t="shared" si="434"/>
        <v>-252782</v>
      </c>
      <c r="DX169" s="7">
        <f t="shared" ref="DX169:EC169" si="435">DX127+DX129+DX147</f>
        <v>-170970</v>
      </c>
      <c r="DY169" s="7">
        <f t="shared" si="435"/>
        <v>-136637.5</v>
      </c>
      <c r="DZ169" s="7">
        <f t="shared" si="435"/>
        <v>-167119.99</v>
      </c>
      <c r="EA169" s="7">
        <f t="shared" si="435"/>
        <v>-29393</v>
      </c>
      <c r="EB169" s="7">
        <f t="shared" si="435"/>
        <v>-65071</v>
      </c>
      <c r="EC169" s="7">
        <f t="shared" si="435"/>
        <v>-11405</v>
      </c>
      <c r="ED169" s="7">
        <f t="shared" ref="ED169:EF169" si="436">ED127+ED129+ED147</f>
        <v>-34768</v>
      </c>
      <c r="EE169" s="7">
        <f t="shared" si="436"/>
        <v>-80629</v>
      </c>
      <c r="EF169" s="7">
        <f t="shared" si="436"/>
        <v>-173263</v>
      </c>
      <c r="EG169" s="7">
        <f t="shared" ref="EG169:EH169" si="437">EG127+EG129+EG147</f>
        <v>75344</v>
      </c>
      <c r="EH169" s="7">
        <f t="shared" si="437"/>
        <v>104916</v>
      </c>
      <c r="EI169" s="7">
        <f t="shared" ref="EI169:EK169" si="438">EI127+EI129+EI147</f>
        <v>106286</v>
      </c>
      <c r="EJ169" s="7">
        <f t="shared" si="438"/>
        <v>19056</v>
      </c>
      <c r="EK169" s="7">
        <f t="shared" si="438"/>
        <v>6657</v>
      </c>
      <c r="EL169" s="7">
        <f t="shared" ref="EL169" si="439">EL127+EL129+EL147</f>
        <v>12389</v>
      </c>
    </row>
    <row r="170" spans="2:142" x14ac:dyDescent="0.3">
      <c r="B170" s="12"/>
      <c r="C170" s="12"/>
      <c r="D170" s="185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</row>
    <row r="171" spans="2:142" ht="14.4" thickBot="1" x14ac:dyDescent="0.35">
      <c r="B171" s="8" t="s">
        <v>28</v>
      </c>
      <c r="C171" s="8" t="s">
        <v>483</v>
      </c>
      <c r="D171" s="198" t="str">
        <f>IF(Menu!$D$12="PT",'Dados Financeiros'!B171,'Dados Financeiros'!C171)</f>
        <v>Fluxo de caixa das atividades de investimentos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</row>
    <row r="172" spans="2:142" x14ac:dyDescent="0.3">
      <c r="B172" s="12"/>
      <c r="C172" s="12"/>
      <c r="D172" s="185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</row>
    <row r="173" spans="2:142" x14ac:dyDescent="0.3">
      <c r="B173" s="129" t="s">
        <v>611</v>
      </c>
      <c r="C173" s="129" t="s">
        <v>397</v>
      </c>
      <c r="D173" s="183" t="str">
        <f>IF(Menu!$D$12="PT",'Dados Financeiros'!B173,'Dados Financeiros'!C173)</f>
        <v>Intangível - FCX</v>
      </c>
      <c r="E173" s="4">
        <v>0</v>
      </c>
      <c r="F173" s="4">
        <v>0</v>
      </c>
      <c r="G173" s="4">
        <v>0</v>
      </c>
      <c r="H173" s="4">
        <v>0</v>
      </c>
      <c r="I173" s="4">
        <v>-866</v>
      </c>
      <c r="J173" s="4">
        <v>-1311</v>
      </c>
      <c r="K173" s="4">
        <v>-427</v>
      </c>
      <c r="L173" s="4">
        <v>-2243</v>
      </c>
      <c r="M173" s="4">
        <v>-1339</v>
      </c>
      <c r="N173" s="4">
        <v>-2421</v>
      </c>
      <c r="O173" s="4">
        <v>-6799</v>
      </c>
      <c r="P173" s="4">
        <v>-3612</v>
      </c>
      <c r="Q173" s="4">
        <v>2641</v>
      </c>
      <c r="R173" s="4">
        <v>-1156</v>
      </c>
      <c r="S173" s="4">
        <v>-1490</v>
      </c>
      <c r="T173" s="4">
        <v>-4928</v>
      </c>
      <c r="U173" s="4">
        <v>-952</v>
      </c>
      <c r="V173" s="4">
        <v>-2288</v>
      </c>
      <c r="W173" s="4">
        <v>-5067</v>
      </c>
      <c r="X173" s="4">
        <v>-5489</v>
      </c>
      <c r="Y173" s="4">
        <v>-2055</v>
      </c>
      <c r="Z173" s="4">
        <v>-2055</v>
      </c>
      <c r="AA173" s="4">
        <v>-2677</v>
      </c>
      <c r="AB173" s="4">
        <v>-2677</v>
      </c>
      <c r="AC173" s="4">
        <v>-16792</v>
      </c>
      <c r="AD173" s="4">
        <v>-16793</v>
      </c>
      <c r="AE173" s="4">
        <v>-2785</v>
      </c>
      <c r="AF173" s="4">
        <v>-2785</v>
      </c>
      <c r="AG173" s="4">
        <v>-811</v>
      </c>
      <c r="AH173" s="4">
        <v>-2236</v>
      </c>
      <c r="AI173" s="4">
        <v>-3150</v>
      </c>
      <c r="AJ173" s="4">
        <v>-3234</v>
      </c>
      <c r="AK173" s="4">
        <v>-2179</v>
      </c>
      <c r="AL173" s="4">
        <v>-2280</v>
      </c>
      <c r="AM173" s="4">
        <v>-2022</v>
      </c>
      <c r="AN173" s="4">
        <v>-3207</v>
      </c>
      <c r="AO173" s="4">
        <v>-1805</v>
      </c>
      <c r="AP173" s="4">
        <v>-1215</v>
      </c>
      <c r="AQ173" s="4">
        <v>-1224</v>
      </c>
      <c r="AR173" s="4">
        <v>-1655</v>
      </c>
      <c r="AS173" s="4">
        <v>-1121</v>
      </c>
      <c r="AT173" s="4">
        <v>-761</v>
      </c>
      <c r="AU173" s="4">
        <v>-800</v>
      </c>
      <c r="AV173" s="4">
        <v>-1210</v>
      </c>
      <c r="AW173" s="4">
        <v>-915</v>
      </c>
      <c r="AX173" s="4">
        <v>-1253</v>
      </c>
      <c r="AY173" s="4">
        <v>-1649</v>
      </c>
      <c r="AZ173" s="4">
        <v>-720</v>
      </c>
      <c r="BA173" s="94">
        <v>-67</v>
      </c>
      <c r="BB173" s="4">
        <v>1</v>
      </c>
      <c r="BC173" s="4">
        <v>-3</v>
      </c>
      <c r="BD173" s="4">
        <v>0</v>
      </c>
      <c r="BE173" s="4">
        <v>0</v>
      </c>
      <c r="BF173" s="4">
        <v>0</v>
      </c>
      <c r="BG173" s="4">
        <v>-28</v>
      </c>
      <c r="BH173" s="4">
        <v>-371</v>
      </c>
      <c r="BI173" s="4">
        <v>-8</v>
      </c>
      <c r="BJ173" s="4">
        <v>-145</v>
      </c>
      <c r="BK173" s="4">
        <v>-244</v>
      </c>
      <c r="BL173" s="4">
        <v>-998</v>
      </c>
      <c r="BM173" s="4">
        <v>57</v>
      </c>
      <c r="BN173" s="4">
        <v>-29</v>
      </c>
      <c r="BO173" s="4">
        <v>-51</v>
      </c>
      <c r="BP173" s="4">
        <v>-342</v>
      </c>
      <c r="BQ173" s="4">
        <v>-115</v>
      </c>
      <c r="BR173" s="4">
        <v>-385</v>
      </c>
      <c r="BS173" s="4">
        <v>-157</v>
      </c>
      <c r="BT173" s="4">
        <v>-1448</v>
      </c>
      <c r="BU173" s="4">
        <v>-3464</v>
      </c>
      <c r="BV173" s="4">
        <v>-376</v>
      </c>
      <c r="BW173" s="4">
        <v>-341</v>
      </c>
      <c r="BX173" s="4">
        <v>-873</v>
      </c>
      <c r="BY173" s="4">
        <v>-242</v>
      </c>
      <c r="BZ173" s="4">
        <v>-1074</v>
      </c>
      <c r="CA173" s="4">
        <v>-595</v>
      </c>
      <c r="CB173" s="4">
        <v>-708</v>
      </c>
      <c r="CC173" s="4">
        <v>-496</v>
      </c>
      <c r="CD173" s="4">
        <v>-372</v>
      </c>
      <c r="CE173" s="4">
        <v>-393</v>
      </c>
      <c r="CF173" s="4">
        <v>-142</v>
      </c>
      <c r="CH173" s="94">
        <f t="shared" ref="CH173:CQ182" si="440">SUMIF($B$1:$CG$1,"&lt;="&amp;VALUE(RIGHT(CH$2,2)&amp;IF(LEFT(CH$2,2)="1S",2,IF(LEFT(CH$2,2)="9M",3,4))),$B173:$CG173)-
SUMIF($B$1:$CG$1,"&lt;"&amp;VALUE(RIGHT(CH$2,2))&amp;"0",$B173:$CG173)</f>
        <v>0</v>
      </c>
      <c r="CI173" s="94">
        <f t="shared" si="440"/>
        <v>0</v>
      </c>
      <c r="CJ173" s="94">
        <f t="shared" si="440"/>
        <v>0</v>
      </c>
      <c r="CK173" s="94">
        <f t="shared" si="440"/>
        <v>-2177</v>
      </c>
      <c r="CL173" s="94">
        <f t="shared" si="440"/>
        <v>-2604</v>
      </c>
      <c r="CM173" s="94">
        <f t="shared" si="440"/>
        <v>-4847</v>
      </c>
      <c r="CN173" s="94">
        <f t="shared" si="440"/>
        <v>-3760</v>
      </c>
      <c r="CO173" s="94">
        <f t="shared" si="440"/>
        <v>-10559</v>
      </c>
      <c r="CP173" s="94">
        <f t="shared" si="440"/>
        <v>-14171</v>
      </c>
      <c r="CQ173" s="94">
        <f t="shared" si="440"/>
        <v>1485</v>
      </c>
      <c r="CR173" s="94">
        <f t="shared" ref="CR173:DA182" si="441">SUMIF($B$1:$CG$1,"&lt;="&amp;VALUE(RIGHT(CR$2,2)&amp;IF(LEFT(CR$2,2)="1S",2,IF(LEFT(CR$2,2)="9M",3,4))),$B173:$CG173)-
SUMIF($B$1:$CG$1,"&lt;"&amp;VALUE(RIGHT(CR$2,2))&amp;"0",$B173:$CG173)</f>
        <v>-5</v>
      </c>
      <c r="CS173" s="94">
        <f t="shared" si="441"/>
        <v>-4933</v>
      </c>
      <c r="CT173" s="94">
        <f t="shared" si="441"/>
        <v>-3240</v>
      </c>
      <c r="CU173" s="94">
        <f t="shared" si="441"/>
        <v>-8307</v>
      </c>
      <c r="CV173" s="94">
        <f t="shared" si="441"/>
        <v>-13796</v>
      </c>
      <c r="CW173" s="94">
        <f t="shared" si="441"/>
        <v>-4732</v>
      </c>
      <c r="CX173" s="94">
        <f t="shared" si="441"/>
        <v>-21525</v>
      </c>
      <c r="CY173" s="94">
        <f t="shared" si="441"/>
        <v>-24310</v>
      </c>
      <c r="CZ173" s="94">
        <f t="shared" si="441"/>
        <v>-3047</v>
      </c>
      <c r="DA173" s="94">
        <f t="shared" si="441"/>
        <v>-6197</v>
      </c>
      <c r="DB173" s="94">
        <f t="shared" ref="DB173:DK182" si="442">SUMIF($B$1:$CG$1,"&lt;="&amp;VALUE(RIGHT(DB$2,2)&amp;IF(LEFT(DB$2,2)="1S",2,IF(LEFT(DB$2,2)="9M",3,4))),$B173:$CG173)-
SUMIF($B$1:$CG$1,"&lt;"&amp;VALUE(RIGHT(DB$2,2))&amp;"0",$B173:$CG173)</f>
        <v>-9431</v>
      </c>
      <c r="DC173" s="94">
        <f t="shared" si="442"/>
        <v>-4459</v>
      </c>
      <c r="DD173" s="94">
        <f t="shared" si="442"/>
        <v>-6481</v>
      </c>
      <c r="DE173" s="94">
        <f t="shared" si="442"/>
        <v>-9688</v>
      </c>
      <c r="DF173" s="94">
        <f t="shared" si="442"/>
        <v>-3020</v>
      </c>
      <c r="DG173" s="94">
        <f t="shared" si="442"/>
        <v>-4244</v>
      </c>
      <c r="DH173" s="94">
        <f t="shared" si="442"/>
        <v>-5899</v>
      </c>
      <c r="DI173" s="94">
        <f t="shared" si="442"/>
        <v>-1882</v>
      </c>
      <c r="DJ173" s="94">
        <f t="shared" si="442"/>
        <v>-2682</v>
      </c>
      <c r="DK173" s="94">
        <f t="shared" si="442"/>
        <v>-3892</v>
      </c>
      <c r="DL173" s="94">
        <f t="shared" ref="DL173:DU182" si="443">SUMIF($B$1:$CG$1,"&lt;="&amp;VALUE(RIGHT(DL$2,2)&amp;IF(LEFT(DL$2,2)="1S",2,IF(LEFT(DL$2,2)="9M",3,4))),$B173:$CG173)-
SUMIF($B$1:$CG$1,"&lt;"&amp;VALUE(RIGHT(DL$2,2))&amp;"0",$B173:$CG173)</f>
        <v>-2168</v>
      </c>
      <c r="DM173" s="94">
        <f t="shared" si="443"/>
        <v>-3817</v>
      </c>
      <c r="DN173" s="94">
        <f t="shared" si="443"/>
        <v>-4537</v>
      </c>
      <c r="DO173" s="94">
        <f t="shared" si="443"/>
        <v>-66</v>
      </c>
      <c r="DP173" s="94">
        <f t="shared" si="443"/>
        <v>-69</v>
      </c>
      <c r="DQ173" s="94">
        <f t="shared" si="443"/>
        <v>-69</v>
      </c>
      <c r="DR173" s="94">
        <f t="shared" si="443"/>
        <v>0</v>
      </c>
      <c r="DS173" s="94">
        <f t="shared" si="443"/>
        <v>-28</v>
      </c>
      <c r="DT173" s="94">
        <f t="shared" si="443"/>
        <v>-399</v>
      </c>
      <c r="DU173" s="94">
        <f t="shared" si="443"/>
        <v>-153</v>
      </c>
      <c r="DV173" s="94">
        <f t="shared" ref="DV173:EE182" si="444">SUMIF($B$1:$CG$1,"&lt;="&amp;VALUE(RIGHT(DV$2,2)&amp;IF(LEFT(DV$2,2)="1S",2,IF(LEFT(DV$2,2)="9M",3,4))),$B173:$CG173)-
SUMIF($B$1:$CG$1,"&lt;"&amp;VALUE(RIGHT(DV$2,2))&amp;"0",$B173:$CG173)</f>
        <v>-397</v>
      </c>
      <c r="DW173" s="94">
        <f t="shared" si="444"/>
        <v>-1395</v>
      </c>
      <c r="DX173" s="94">
        <f t="shared" si="444"/>
        <v>28</v>
      </c>
      <c r="DY173" s="94">
        <f t="shared" si="444"/>
        <v>-23</v>
      </c>
      <c r="DZ173" s="94">
        <f t="shared" si="444"/>
        <v>-365</v>
      </c>
      <c r="EA173" s="94">
        <f t="shared" si="444"/>
        <v>-500</v>
      </c>
      <c r="EB173" s="94">
        <f t="shared" si="444"/>
        <v>-657</v>
      </c>
      <c r="EC173" s="94">
        <f t="shared" si="444"/>
        <v>-2105</v>
      </c>
      <c r="ED173" s="94">
        <f t="shared" si="444"/>
        <v>-3840</v>
      </c>
      <c r="EE173" s="94">
        <f t="shared" si="444"/>
        <v>-4181</v>
      </c>
      <c r="EF173" s="94">
        <f t="shared" ref="EF173:EL182" si="445">SUMIF($B$1:$CG$1,"&lt;="&amp;VALUE(RIGHT(EF$2,2)&amp;IF(LEFT(EF$2,2)="1S",2,IF(LEFT(EF$2,2)="9M",3,4))),$B173:$CG173)-
SUMIF($B$1:$CG$1,"&lt;"&amp;VALUE(RIGHT(EF$2,2))&amp;"0",$B173:$CG173)</f>
        <v>-5054</v>
      </c>
      <c r="EG173" s="94">
        <f t="shared" si="445"/>
        <v>-1316</v>
      </c>
      <c r="EH173" s="94">
        <f t="shared" si="445"/>
        <v>-1911</v>
      </c>
      <c r="EI173" s="94">
        <f t="shared" si="445"/>
        <v>-2619</v>
      </c>
      <c r="EJ173" s="94">
        <f t="shared" si="445"/>
        <v>-868</v>
      </c>
      <c r="EK173" s="94">
        <f t="shared" si="445"/>
        <v>-1261</v>
      </c>
      <c r="EL173" s="94">
        <f t="shared" si="445"/>
        <v>-1403</v>
      </c>
    </row>
    <row r="174" spans="2:142" x14ac:dyDescent="0.3">
      <c r="B174" s="129" t="s">
        <v>595</v>
      </c>
      <c r="C174" s="129" t="s">
        <v>469</v>
      </c>
      <c r="D174" s="183" t="str">
        <f>IF(Menu!$D$12="PT",'Dados Financeiros'!B174,'Dados Financeiros'!C174)</f>
        <v>Títulos e valores mobiliários - FCX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-10000</v>
      </c>
      <c r="O174" s="4">
        <v>0</v>
      </c>
      <c r="P174" s="4">
        <v>0</v>
      </c>
      <c r="Q174" s="4">
        <v>10000</v>
      </c>
      <c r="R174" s="4">
        <v>0</v>
      </c>
      <c r="S174" s="4">
        <v>0</v>
      </c>
      <c r="T174" s="4">
        <v>-11453</v>
      </c>
      <c r="U174" s="4">
        <v>-252</v>
      </c>
      <c r="V174" s="4">
        <v>-284</v>
      </c>
      <c r="W174" s="4">
        <v>416</v>
      </c>
      <c r="X174" s="4">
        <v>199</v>
      </c>
      <c r="Y174" s="4">
        <v>433</v>
      </c>
      <c r="Z174" s="4">
        <v>433</v>
      </c>
      <c r="AA174" s="4">
        <v>-55</v>
      </c>
      <c r="AB174" s="4">
        <v>-55</v>
      </c>
      <c r="AC174" s="4">
        <v>-226</v>
      </c>
      <c r="AD174" s="4">
        <v>-226</v>
      </c>
      <c r="AE174" s="4">
        <v>-48186</v>
      </c>
      <c r="AF174" s="4">
        <v>-48186</v>
      </c>
      <c r="AG174" s="4">
        <v>4921</v>
      </c>
      <c r="AH174" s="4">
        <v>23112</v>
      </c>
      <c r="AI174" s="4">
        <v>18920</v>
      </c>
      <c r="AJ174" s="4">
        <v>4308</v>
      </c>
      <c r="AK174" s="4">
        <v>4174</v>
      </c>
      <c r="AL174" s="4">
        <v>477</v>
      </c>
      <c r="AM174" s="4">
        <v>282</v>
      </c>
      <c r="AN174" s="4">
        <v>-2137</v>
      </c>
      <c r="AO174" s="4">
        <v>4014</v>
      </c>
      <c r="AP174" s="4">
        <v>-42383</v>
      </c>
      <c r="AQ174" s="4">
        <v>-63151</v>
      </c>
      <c r="AR174" s="4">
        <v>-40687</v>
      </c>
      <c r="AS174" s="4">
        <v>3728</v>
      </c>
      <c r="AT174" s="4">
        <v>-25531</v>
      </c>
      <c r="AU174" s="4">
        <v>36655</v>
      </c>
      <c r="AV174" s="4">
        <v>-29195</v>
      </c>
      <c r="AW174" s="4">
        <v>97734</v>
      </c>
      <c r="AX174" s="4">
        <v>-32388</v>
      </c>
      <c r="AY174" s="4">
        <v>33837</v>
      </c>
      <c r="AZ174" s="4">
        <v>-13790</v>
      </c>
      <c r="BA174" s="94">
        <v>11551</v>
      </c>
      <c r="BB174" s="4">
        <v>-44165</v>
      </c>
      <c r="BC174" s="4">
        <v>20119</v>
      </c>
      <c r="BD174" s="4">
        <v>24180</v>
      </c>
      <c r="BE174" s="4">
        <v>-24719</v>
      </c>
      <c r="BF174" s="4">
        <v>14004</v>
      </c>
      <c r="BG174" s="4">
        <v>-78623</v>
      </c>
      <c r="BH174" s="4">
        <v>37831</v>
      </c>
      <c r="BI174" s="4">
        <v>64060</v>
      </c>
      <c r="BJ174" s="4">
        <v>-1369</v>
      </c>
      <c r="BK174" s="4">
        <v>-67403</v>
      </c>
      <c r="BL174" s="4">
        <v>-63340</v>
      </c>
      <c r="BM174" s="4">
        <v>-8185</v>
      </c>
      <c r="BN174" s="4">
        <v>144874</v>
      </c>
      <c r="BO174" s="4">
        <v>-6087</v>
      </c>
      <c r="BP174" s="4">
        <v>-48</v>
      </c>
      <c r="BQ174" s="4">
        <v>14633</v>
      </c>
      <c r="BR174" s="4">
        <v>-1807</v>
      </c>
      <c r="BS174" s="4">
        <v>15110</v>
      </c>
      <c r="BT174" s="4">
        <v>-40626</v>
      </c>
      <c r="BU174" s="4">
        <v>66592</v>
      </c>
      <c r="BV174" s="4">
        <v>4442</v>
      </c>
      <c r="BW174" s="4">
        <v>-6529</v>
      </c>
      <c r="BX174" s="4">
        <v>8920</v>
      </c>
      <c r="BY174" s="4">
        <v>-6742</v>
      </c>
      <c r="BZ174" s="4">
        <v>-15510</v>
      </c>
      <c r="CA174" s="4">
        <v>-5752</v>
      </c>
      <c r="CB174" s="4">
        <v>12695</v>
      </c>
      <c r="CC174" s="4">
        <v>13474</v>
      </c>
      <c r="CD174" s="4">
        <v>8511</v>
      </c>
      <c r="CE174" s="4">
        <v>2858</v>
      </c>
      <c r="CF174" s="4">
        <v>1354</v>
      </c>
      <c r="CH174" s="94">
        <f t="shared" si="440"/>
        <v>0</v>
      </c>
      <c r="CI174" s="94">
        <f t="shared" si="440"/>
        <v>0</v>
      </c>
      <c r="CJ174" s="94">
        <f t="shared" si="440"/>
        <v>0</v>
      </c>
      <c r="CK174" s="94">
        <f t="shared" si="440"/>
        <v>0</v>
      </c>
      <c r="CL174" s="94">
        <f t="shared" si="440"/>
        <v>0</v>
      </c>
      <c r="CM174" s="94">
        <f t="shared" si="440"/>
        <v>0</v>
      </c>
      <c r="CN174" s="94">
        <f t="shared" si="440"/>
        <v>-10000</v>
      </c>
      <c r="CO174" s="94">
        <f t="shared" si="440"/>
        <v>-10000</v>
      </c>
      <c r="CP174" s="94">
        <f t="shared" si="440"/>
        <v>-10000</v>
      </c>
      <c r="CQ174" s="94">
        <f t="shared" si="440"/>
        <v>10000</v>
      </c>
      <c r="CR174" s="94">
        <f t="shared" si="441"/>
        <v>10000</v>
      </c>
      <c r="CS174" s="94">
        <f t="shared" si="441"/>
        <v>-1453</v>
      </c>
      <c r="CT174" s="94">
        <f t="shared" si="441"/>
        <v>-536</v>
      </c>
      <c r="CU174" s="94">
        <f t="shared" si="441"/>
        <v>-120</v>
      </c>
      <c r="CV174" s="94">
        <f t="shared" si="441"/>
        <v>79</v>
      </c>
      <c r="CW174" s="94">
        <f t="shared" si="441"/>
        <v>378</v>
      </c>
      <c r="CX174" s="94">
        <f t="shared" si="441"/>
        <v>152</v>
      </c>
      <c r="CY174" s="94">
        <f t="shared" si="441"/>
        <v>-48034</v>
      </c>
      <c r="CZ174" s="94">
        <f t="shared" si="441"/>
        <v>28033</v>
      </c>
      <c r="DA174" s="94">
        <f t="shared" si="441"/>
        <v>46953</v>
      </c>
      <c r="DB174" s="94">
        <f t="shared" si="442"/>
        <v>51261</v>
      </c>
      <c r="DC174" s="94">
        <f t="shared" si="442"/>
        <v>4651</v>
      </c>
      <c r="DD174" s="94">
        <f t="shared" si="442"/>
        <v>4933</v>
      </c>
      <c r="DE174" s="94">
        <f t="shared" si="442"/>
        <v>2796</v>
      </c>
      <c r="DF174" s="94">
        <f t="shared" si="442"/>
        <v>-38369</v>
      </c>
      <c r="DG174" s="94">
        <f t="shared" si="442"/>
        <v>-101520</v>
      </c>
      <c r="DH174" s="94">
        <f t="shared" si="442"/>
        <v>-142207</v>
      </c>
      <c r="DI174" s="94">
        <f t="shared" si="442"/>
        <v>-21803</v>
      </c>
      <c r="DJ174" s="94">
        <f t="shared" si="442"/>
        <v>14852</v>
      </c>
      <c r="DK174" s="94">
        <f t="shared" si="442"/>
        <v>-14343</v>
      </c>
      <c r="DL174" s="94">
        <f t="shared" si="443"/>
        <v>65346</v>
      </c>
      <c r="DM174" s="94">
        <f t="shared" si="443"/>
        <v>99183</v>
      </c>
      <c r="DN174" s="94">
        <f t="shared" si="443"/>
        <v>85393</v>
      </c>
      <c r="DO174" s="94">
        <f t="shared" si="443"/>
        <v>-32614</v>
      </c>
      <c r="DP174" s="94">
        <f t="shared" si="443"/>
        <v>-12495</v>
      </c>
      <c r="DQ174" s="94">
        <f t="shared" si="443"/>
        <v>11685</v>
      </c>
      <c r="DR174" s="94">
        <f t="shared" si="443"/>
        <v>-10715</v>
      </c>
      <c r="DS174" s="94">
        <f t="shared" si="443"/>
        <v>-89338</v>
      </c>
      <c r="DT174" s="94">
        <f t="shared" si="443"/>
        <v>-51507</v>
      </c>
      <c r="DU174" s="94">
        <f t="shared" si="443"/>
        <v>62691</v>
      </c>
      <c r="DV174" s="94">
        <f t="shared" si="444"/>
        <v>-4712</v>
      </c>
      <c r="DW174" s="94">
        <f t="shared" si="444"/>
        <v>-68052</v>
      </c>
      <c r="DX174" s="94">
        <f t="shared" si="444"/>
        <v>136689</v>
      </c>
      <c r="DY174" s="94">
        <f t="shared" si="444"/>
        <v>130602</v>
      </c>
      <c r="DZ174" s="94">
        <f t="shared" si="444"/>
        <v>130554</v>
      </c>
      <c r="EA174" s="94">
        <f t="shared" si="444"/>
        <v>12826</v>
      </c>
      <c r="EB174" s="94">
        <f t="shared" si="444"/>
        <v>27936</v>
      </c>
      <c r="EC174" s="94">
        <f t="shared" si="444"/>
        <v>-12690</v>
      </c>
      <c r="ED174" s="94">
        <f t="shared" si="444"/>
        <v>71034</v>
      </c>
      <c r="EE174" s="94">
        <f t="shared" si="444"/>
        <v>64505</v>
      </c>
      <c r="EF174" s="94">
        <f t="shared" si="445"/>
        <v>73425</v>
      </c>
      <c r="EG174" s="94">
        <f t="shared" si="445"/>
        <v>-22252</v>
      </c>
      <c r="EH174" s="94">
        <f t="shared" si="445"/>
        <v>-28004</v>
      </c>
      <c r="EI174" s="94">
        <f t="shared" si="445"/>
        <v>-15309</v>
      </c>
      <c r="EJ174" s="94">
        <f t="shared" si="445"/>
        <v>21985</v>
      </c>
      <c r="EK174" s="94">
        <f t="shared" si="445"/>
        <v>24843</v>
      </c>
      <c r="EL174" s="94">
        <f t="shared" si="445"/>
        <v>26197</v>
      </c>
    </row>
    <row r="175" spans="2:142" x14ac:dyDescent="0.3">
      <c r="B175" s="129" t="s">
        <v>612</v>
      </c>
      <c r="C175" s="129" t="s">
        <v>484</v>
      </c>
      <c r="D175" s="183" t="str">
        <f>IF(Menu!$D$12="PT",'Dados Financeiros'!B175,'Dados Financeiros'!C175)</f>
        <v>Compras de imobilizado - FCX</v>
      </c>
      <c r="E175" s="4">
        <v>-93</v>
      </c>
      <c r="F175" s="4">
        <v>-664</v>
      </c>
      <c r="G175" s="4">
        <v>-1267</v>
      </c>
      <c r="H175" s="4">
        <v>-1554</v>
      </c>
      <c r="I175" s="4">
        <v>-14841</v>
      </c>
      <c r="J175" s="4">
        <v>-7699</v>
      </c>
      <c r="K175" s="4">
        <v>-5574</v>
      </c>
      <c r="L175" s="4">
        <v>-7606</v>
      </c>
      <c r="M175" s="4">
        <v>-5233</v>
      </c>
      <c r="N175" s="4">
        <v>207</v>
      </c>
      <c r="O175" s="4">
        <v>-1352</v>
      </c>
      <c r="P175" s="4">
        <v>-1051</v>
      </c>
      <c r="Q175" s="4">
        <v>-1715</v>
      </c>
      <c r="R175" s="4">
        <v>-5906</v>
      </c>
      <c r="S175" s="4">
        <v>-8181</v>
      </c>
      <c r="T175" s="4">
        <v>-7993</v>
      </c>
      <c r="U175" s="4">
        <v>-8866</v>
      </c>
      <c r="V175" s="4">
        <v>-6344</v>
      </c>
      <c r="W175" s="4">
        <v>-8611</v>
      </c>
      <c r="X175" s="4">
        <v>-9081</v>
      </c>
      <c r="Y175" s="4">
        <v>-8855</v>
      </c>
      <c r="Z175" s="4">
        <v>-8583</v>
      </c>
      <c r="AA175" s="4">
        <v>-18282</v>
      </c>
      <c r="AB175" s="4">
        <v>-18719</v>
      </c>
      <c r="AC175" s="4">
        <v>-19248</v>
      </c>
      <c r="AD175" s="4">
        <v>-19037</v>
      </c>
      <c r="AE175" s="4">
        <v>-20292</v>
      </c>
      <c r="AF175" s="4">
        <v>-20153</v>
      </c>
      <c r="AG175" s="4">
        <v>-3760</v>
      </c>
      <c r="AH175" s="4">
        <v>-3287</v>
      </c>
      <c r="AI175" s="4">
        <v>-2669</v>
      </c>
      <c r="AJ175" s="4">
        <v>-5075</v>
      </c>
      <c r="AK175" s="4">
        <v>-2855</v>
      </c>
      <c r="AL175" s="4">
        <v>-2361</v>
      </c>
      <c r="AM175" s="4">
        <v>-1014</v>
      </c>
      <c r="AN175" s="4">
        <v>-754</v>
      </c>
      <c r="AO175" s="4">
        <v>-488</v>
      </c>
      <c r="AP175" s="4">
        <v>-930</v>
      </c>
      <c r="AQ175" s="4">
        <v>-678</v>
      </c>
      <c r="AR175" s="4">
        <v>3</v>
      </c>
      <c r="AS175" s="4">
        <v>-1240</v>
      </c>
      <c r="AT175" s="4">
        <v>-168</v>
      </c>
      <c r="AU175" s="4">
        <v>-586</v>
      </c>
      <c r="AV175" s="4">
        <v>-827</v>
      </c>
      <c r="AW175" s="4">
        <v>-586</v>
      </c>
      <c r="AX175" s="4">
        <v>-1660</v>
      </c>
      <c r="AY175" s="4">
        <v>-251</v>
      </c>
      <c r="AZ175" s="4">
        <v>-69</v>
      </c>
      <c r="BA175" s="94">
        <v>-9</v>
      </c>
      <c r="BB175" s="4">
        <v>-46</v>
      </c>
      <c r="BC175" s="4">
        <v>-1995</v>
      </c>
      <c r="BD175" s="4">
        <v>-212</v>
      </c>
      <c r="BE175" s="4">
        <v>-5133</v>
      </c>
      <c r="BF175" s="4">
        <v>3817</v>
      </c>
      <c r="BG175" s="4">
        <v>-516</v>
      </c>
      <c r="BH175" s="4">
        <v>-125</v>
      </c>
      <c r="BI175" s="4">
        <v>-1084</v>
      </c>
      <c r="BJ175" s="4">
        <v>-116</v>
      </c>
      <c r="BK175" s="4">
        <v>1147</v>
      </c>
      <c r="BL175" s="4">
        <v>-5550</v>
      </c>
      <c r="BM175" s="4">
        <v>-670</v>
      </c>
      <c r="BN175" s="4">
        <v>-1988</v>
      </c>
      <c r="BO175" s="4">
        <v>-5480</v>
      </c>
      <c r="BP175" s="4">
        <v>-1601</v>
      </c>
      <c r="BQ175" s="4">
        <v>-233</v>
      </c>
      <c r="BR175" s="4">
        <v>-1348</v>
      </c>
      <c r="BS175" s="4">
        <v>-2352</v>
      </c>
      <c r="BT175" s="4">
        <v>-4619</v>
      </c>
      <c r="BU175" s="4">
        <v>-1524</v>
      </c>
      <c r="BV175" s="4">
        <v>-1838</v>
      </c>
      <c r="BW175" s="4">
        <v>-597</v>
      </c>
      <c r="BX175" s="4">
        <v>-754</v>
      </c>
      <c r="BY175" s="4">
        <v>-41</v>
      </c>
      <c r="BZ175" s="4">
        <v>-184</v>
      </c>
      <c r="CA175" s="4">
        <v>-80</v>
      </c>
      <c r="CB175" s="4">
        <v>-309</v>
      </c>
      <c r="CC175" s="4">
        <v>-574</v>
      </c>
      <c r="CD175" s="4">
        <v>-162</v>
      </c>
      <c r="CE175" s="4">
        <v>-11</v>
      </c>
      <c r="CF175" s="4">
        <v>-2</v>
      </c>
      <c r="CH175" s="94">
        <f t="shared" si="440"/>
        <v>-757</v>
      </c>
      <c r="CI175" s="94">
        <f t="shared" si="440"/>
        <v>-2024</v>
      </c>
      <c r="CJ175" s="94">
        <f t="shared" si="440"/>
        <v>-3578</v>
      </c>
      <c r="CK175" s="94">
        <f t="shared" si="440"/>
        <v>-22540</v>
      </c>
      <c r="CL175" s="94">
        <f t="shared" si="440"/>
        <v>-28114</v>
      </c>
      <c r="CM175" s="94">
        <f t="shared" si="440"/>
        <v>-35720</v>
      </c>
      <c r="CN175" s="94">
        <f t="shared" si="440"/>
        <v>-5026</v>
      </c>
      <c r="CO175" s="94">
        <f t="shared" si="440"/>
        <v>-6378</v>
      </c>
      <c r="CP175" s="94">
        <f t="shared" si="440"/>
        <v>-7429</v>
      </c>
      <c r="CQ175" s="94">
        <f t="shared" si="440"/>
        <v>-7621</v>
      </c>
      <c r="CR175" s="94">
        <f t="shared" si="441"/>
        <v>-15802</v>
      </c>
      <c r="CS175" s="94">
        <f t="shared" si="441"/>
        <v>-23795</v>
      </c>
      <c r="CT175" s="94">
        <f t="shared" si="441"/>
        <v>-15210</v>
      </c>
      <c r="CU175" s="94">
        <f t="shared" si="441"/>
        <v>-23821</v>
      </c>
      <c r="CV175" s="94">
        <f t="shared" si="441"/>
        <v>-32902</v>
      </c>
      <c r="CW175" s="94">
        <f t="shared" si="441"/>
        <v>-27302</v>
      </c>
      <c r="CX175" s="94">
        <f t="shared" si="441"/>
        <v>-46339</v>
      </c>
      <c r="CY175" s="94">
        <f t="shared" si="441"/>
        <v>-66492</v>
      </c>
      <c r="CZ175" s="94">
        <f t="shared" si="441"/>
        <v>-7047</v>
      </c>
      <c r="DA175" s="94">
        <f t="shared" si="441"/>
        <v>-9716</v>
      </c>
      <c r="DB175" s="94">
        <f t="shared" si="442"/>
        <v>-14791</v>
      </c>
      <c r="DC175" s="94">
        <f t="shared" si="442"/>
        <v>-5216</v>
      </c>
      <c r="DD175" s="94">
        <f t="shared" si="442"/>
        <v>-6230</v>
      </c>
      <c r="DE175" s="94">
        <f t="shared" si="442"/>
        <v>-6984</v>
      </c>
      <c r="DF175" s="94">
        <f t="shared" si="442"/>
        <v>-1418</v>
      </c>
      <c r="DG175" s="94">
        <f t="shared" si="442"/>
        <v>-2096</v>
      </c>
      <c r="DH175" s="94">
        <f t="shared" si="442"/>
        <v>-2093</v>
      </c>
      <c r="DI175" s="94">
        <f t="shared" si="442"/>
        <v>-1408</v>
      </c>
      <c r="DJ175" s="94">
        <f t="shared" si="442"/>
        <v>-1994</v>
      </c>
      <c r="DK175" s="94">
        <f t="shared" si="442"/>
        <v>-2821</v>
      </c>
      <c r="DL175" s="94">
        <f t="shared" si="443"/>
        <v>-2246</v>
      </c>
      <c r="DM175" s="94">
        <f t="shared" si="443"/>
        <v>-2497</v>
      </c>
      <c r="DN175" s="94">
        <f t="shared" si="443"/>
        <v>-2566</v>
      </c>
      <c r="DO175" s="94">
        <f t="shared" si="443"/>
        <v>-55</v>
      </c>
      <c r="DP175" s="94">
        <f t="shared" si="443"/>
        <v>-2050</v>
      </c>
      <c r="DQ175" s="94">
        <f t="shared" si="443"/>
        <v>-2262</v>
      </c>
      <c r="DR175" s="94">
        <f t="shared" si="443"/>
        <v>-1316</v>
      </c>
      <c r="DS175" s="94">
        <f t="shared" si="443"/>
        <v>-1832</v>
      </c>
      <c r="DT175" s="94">
        <f t="shared" si="443"/>
        <v>-1957</v>
      </c>
      <c r="DU175" s="94">
        <f t="shared" si="443"/>
        <v>-1200</v>
      </c>
      <c r="DV175" s="94">
        <f t="shared" si="444"/>
        <v>-53</v>
      </c>
      <c r="DW175" s="94">
        <f t="shared" si="444"/>
        <v>-5603</v>
      </c>
      <c r="DX175" s="94">
        <f t="shared" si="444"/>
        <v>-2658</v>
      </c>
      <c r="DY175" s="94">
        <f t="shared" si="444"/>
        <v>-8138</v>
      </c>
      <c r="DZ175" s="94">
        <f t="shared" si="444"/>
        <v>-9739</v>
      </c>
      <c r="EA175" s="94">
        <f t="shared" si="444"/>
        <v>-1581</v>
      </c>
      <c r="EB175" s="94">
        <f t="shared" si="444"/>
        <v>-3933</v>
      </c>
      <c r="EC175" s="94">
        <f t="shared" si="444"/>
        <v>-8552</v>
      </c>
      <c r="ED175" s="94">
        <f t="shared" si="444"/>
        <v>-3362</v>
      </c>
      <c r="EE175" s="94">
        <f t="shared" si="444"/>
        <v>-3959</v>
      </c>
      <c r="EF175" s="94">
        <f t="shared" si="445"/>
        <v>-4713</v>
      </c>
      <c r="EG175" s="94">
        <f t="shared" si="445"/>
        <v>-225</v>
      </c>
      <c r="EH175" s="94">
        <f t="shared" si="445"/>
        <v>-305</v>
      </c>
      <c r="EI175" s="94">
        <f t="shared" si="445"/>
        <v>-614</v>
      </c>
      <c r="EJ175" s="94">
        <f t="shared" si="445"/>
        <v>-736</v>
      </c>
      <c r="EK175" s="94">
        <f t="shared" si="445"/>
        <v>-747</v>
      </c>
      <c r="EL175" s="94">
        <f t="shared" si="445"/>
        <v>-749</v>
      </c>
    </row>
    <row r="176" spans="2:142" x14ac:dyDescent="0.3">
      <c r="B176" s="129" t="s">
        <v>613</v>
      </c>
      <c r="C176" s="129" t="s">
        <v>485</v>
      </c>
      <c r="D176" s="183" t="str">
        <f>IF(Menu!$D$12="PT",'Dados Financeiros'!B176,'Dados Financeiros'!C176)</f>
        <v>Aumento (redução) dos investimentos - FCX</v>
      </c>
      <c r="E176" s="4">
        <v>-13458</v>
      </c>
      <c r="F176" s="4">
        <v>-2568</v>
      </c>
      <c r="G176" s="4">
        <v>-2334</v>
      </c>
      <c r="H176" s="4">
        <v>-30183</v>
      </c>
      <c r="I176" s="4">
        <v>0</v>
      </c>
      <c r="J176" s="4">
        <v>0</v>
      </c>
      <c r="K176" s="4">
        <v>2618</v>
      </c>
      <c r="L176" s="4">
        <v>-5123</v>
      </c>
      <c r="M176" s="4">
        <v>0</v>
      </c>
      <c r="N176" s="4">
        <v>-26580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-9342</v>
      </c>
      <c r="AA176" s="4">
        <v>0</v>
      </c>
      <c r="AB176" s="4">
        <v>4790</v>
      </c>
      <c r="AC176" s="4">
        <v>0</v>
      </c>
      <c r="AD176" s="4">
        <v>1113</v>
      </c>
      <c r="AE176" s="4"/>
      <c r="AF176" s="4">
        <v>5538</v>
      </c>
      <c r="AG176" s="4">
        <v>2093</v>
      </c>
      <c r="AH176" s="4">
        <v>-2937</v>
      </c>
      <c r="AI176" s="4">
        <v>18970</v>
      </c>
      <c r="AJ176" s="4">
        <v>1639</v>
      </c>
      <c r="AK176" s="4">
        <v>4423</v>
      </c>
      <c r="AL176" s="4">
        <v>-1000</v>
      </c>
      <c r="AM176" s="4">
        <v>-3987</v>
      </c>
      <c r="AN176" s="4">
        <v>-13933</v>
      </c>
      <c r="AO176" s="4">
        <v>-5383</v>
      </c>
      <c r="AP176" s="4">
        <v>1312</v>
      </c>
      <c r="AQ176" s="4">
        <v>400</v>
      </c>
      <c r="AR176" s="4">
        <v>52403</v>
      </c>
      <c r="AS176" s="4">
        <v>-3359</v>
      </c>
      <c r="AT176" s="4">
        <v>30618</v>
      </c>
      <c r="AU176" s="4">
        <v>0</v>
      </c>
      <c r="AV176" s="4">
        <v>-25481</v>
      </c>
      <c r="AW176" s="4">
        <v>-422</v>
      </c>
      <c r="AX176" s="4">
        <v>-8272</v>
      </c>
      <c r="AY176" s="4">
        <v>1</v>
      </c>
      <c r="AZ176" s="4">
        <v>-10545</v>
      </c>
      <c r="BA176" s="94">
        <v>-1387</v>
      </c>
      <c r="BB176" s="4">
        <v>-5</v>
      </c>
      <c r="BC176" s="4">
        <v>-1469</v>
      </c>
      <c r="BD176" s="4">
        <v>1820</v>
      </c>
      <c r="BE176" s="4">
        <v>1710</v>
      </c>
      <c r="BF176" s="4">
        <v>-1233</v>
      </c>
      <c r="BG176" s="4">
        <v>-72</v>
      </c>
      <c r="BH176" s="4">
        <v>0</v>
      </c>
      <c r="BI176" s="4">
        <v>0</v>
      </c>
      <c r="BJ176" s="4">
        <v>-57</v>
      </c>
      <c r="BK176" s="4">
        <v>-3154</v>
      </c>
      <c r="BL176" s="4">
        <v>-2348</v>
      </c>
      <c r="BM176" s="4">
        <v>-87</v>
      </c>
      <c r="BN176" s="4">
        <v>-1392</v>
      </c>
      <c r="BO176" s="4">
        <v>-1073</v>
      </c>
      <c r="BP176" s="4">
        <v>-5819</v>
      </c>
      <c r="BQ176" s="4">
        <v>-84</v>
      </c>
      <c r="BR176" s="4">
        <v>-2</v>
      </c>
      <c r="BS176" s="4">
        <v>14569</v>
      </c>
      <c r="BT176" s="4">
        <v>8088</v>
      </c>
      <c r="BU176" s="4">
        <v>0</v>
      </c>
      <c r="BV176" s="4">
        <v>-90</v>
      </c>
      <c r="BW176" s="4">
        <v>677</v>
      </c>
      <c r="BX176" s="4">
        <v>-61</v>
      </c>
      <c r="BY176" s="4">
        <v>0</v>
      </c>
      <c r="BZ176" s="4">
        <v>0</v>
      </c>
      <c r="CA176" s="4">
        <v>-127</v>
      </c>
      <c r="CB176" s="4">
        <v>-10</v>
      </c>
      <c r="CC176" s="4">
        <v>7774</v>
      </c>
      <c r="CD176" s="4">
        <v>-4109</v>
      </c>
      <c r="CE176" s="4">
        <v>-6</v>
      </c>
      <c r="CF176" s="4">
        <v>-169</v>
      </c>
      <c r="CH176" s="94">
        <f t="shared" si="440"/>
        <v>-16026</v>
      </c>
      <c r="CI176" s="94">
        <f t="shared" si="440"/>
        <v>-18360</v>
      </c>
      <c r="CJ176" s="94">
        <f t="shared" si="440"/>
        <v>-48543</v>
      </c>
      <c r="CK176" s="94">
        <f t="shared" si="440"/>
        <v>0</v>
      </c>
      <c r="CL176" s="94">
        <f t="shared" si="440"/>
        <v>2618</v>
      </c>
      <c r="CM176" s="94">
        <f t="shared" si="440"/>
        <v>-2505</v>
      </c>
      <c r="CN176" s="94">
        <f t="shared" si="440"/>
        <v>-26580</v>
      </c>
      <c r="CO176" s="94">
        <f t="shared" si="440"/>
        <v>-26580</v>
      </c>
      <c r="CP176" s="94">
        <f t="shared" si="440"/>
        <v>-26580</v>
      </c>
      <c r="CQ176" s="94">
        <f t="shared" si="440"/>
        <v>0</v>
      </c>
      <c r="CR176" s="94">
        <f t="shared" si="441"/>
        <v>0</v>
      </c>
      <c r="CS176" s="94">
        <f t="shared" si="441"/>
        <v>0</v>
      </c>
      <c r="CT176" s="94">
        <f t="shared" si="441"/>
        <v>0</v>
      </c>
      <c r="CU176" s="94">
        <f t="shared" si="441"/>
        <v>0</v>
      </c>
      <c r="CV176" s="94">
        <f t="shared" si="441"/>
        <v>0</v>
      </c>
      <c r="CW176" s="94">
        <f t="shared" si="441"/>
        <v>-4552</v>
      </c>
      <c r="CX176" s="94">
        <f t="shared" si="441"/>
        <v>-3439</v>
      </c>
      <c r="CY176" s="94">
        <f t="shared" si="441"/>
        <v>2099</v>
      </c>
      <c r="CZ176" s="94">
        <f t="shared" si="441"/>
        <v>-844</v>
      </c>
      <c r="DA176" s="94">
        <f t="shared" si="441"/>
        <v>18126</v>
      </c>
      <c r="DB176" s="94">
        <f t="shared" si="442"/>
        <v>19765</v>
      </c>
      <c r="DC176" s="94">
        <f t="shared" si="442"/>
        <v>3423</v>
      </c>
      <c r="DD176" s="94">
        <f t="shared" si="442"/>
        <v>-564</v>
      </c>
      <c r="DE176" s="94">
        <f t="shared" si="442"/>
        <v>-14497</v>
      </c>
      <c r="DF176" s="94">
        <f t="shared" si="442"/>
        <v>-4071</v>
      </c>
      <c r="DG176" s="94">
        <f t="shared" si="442"/>
        <v>-3671</v>
      </c>
      <c r="DH176" s="94">
        <f t="shared" si="442"/>
        <v>48732</v>
      </c>
      <c r="DI176" s="94">
        <f t="shared" si="442"/>
        <v>27259</v>
      </c>
      <c r="DJ176" s="94">
        <f t="shared" si="442"/>
        <v>27259</v>
      </c>
      <c r="DK176" s="94">
        <f t="shared" si="442"/>
        <v>1778</v>
      </c>
      <c r="DL176" s="94">
        <f t="shared" si="443"/>
        <v>-8694</v>
      </c>
      <c r="DM176" s="94">
        <f t="shared" si="443"/>
        <v>-8693</v>
      </c>
      <c r="DN176" s="94">
        <f t="shared" si="443"/>
        <v>-19238</v>
      </c>
      <c r="DO176" s="94">
        <f t="shared" si="443"/>
        <v>-1392</v>
      </c>
      <c r="DP176" s="94">
        <f t="shared" si="443"/>
        <v>-2861</v>
      </c>
      <c r="DQ176" s="94">
        <f t="shared" si="443"/>
        <v>-1041</v>
      </c>
      <c r="DR176" s="94">
        <f t="shared" si="443"/>
        <v>477</v>
      </c>
      <c r="DS176" s="94">
        <f t="shared" si="443"/>
        <v>405</v>
      </c>
      <c r="DT176" s="94">
        <f t="shared" si="443"/>
        <v>405</v>
      </c>
      <c r="DU176" s="94">
        <f t="shared" si="443"/>
        <v>-57</v>
      </c>
      <c r="DV176" s="94">
        <f t="shared" si="444"/>
        <v>-3211</v>
      </c>
      <c r="DW176" s="94">
        <f t="shared" si="444"/>
        <v>-5559</v>
      </c>
      <c r="DX176" s="94">
        <f t="shared" si="444"/>
        <v>-1479</v>
      </c>
      <c r="DY176" s="94">
        <f t="shared" si="444"/>
        <v>-2552</v>
      </c>
      <c r="DZ176" s="94">
        <f t="shared" si="444"/>
        <v>-8371</v>
      </c>
      <c r="EA176" s="94">
        <f t="shared" si="444"/>
        <v>-86</v>
      </c>
      <c r="EB176" s="94">
        <f t="shared" si="444"/>
        <v>14483</v>
      </c>
      <c r="EC176" s="94">
        <f t="shared" si="444"/>
        <v>22571</v>
      </c>
      <c r="ED176" s="94">
        <f t="shared" si="444"/>
        <v>-90</v>
      </c>
      <c r="EE176" s="94">
        <f t="shared" si="444"/>
        <v>587</v>
      </c>
      <c r="EF176" s="94">
        <f t="shared" si="445"/>
        <v>526</v>
      </c>
      <c r="EG176" s="94">
        <f t="shared" si="445"/>
        <v>0</v>
      </c>
      <c r="EH176" s="94">
        <f t="shared" si="445"/>
        <v>-127</v>
      </c>
      <c r="EI176" s="94">
        <f t="shared" si="445"/>
        <v>-137</v>
      </c>
      <c r="EJ176" s="94">
        <f t="shared" si="445"/>
        <v>3665</v>
      </c>
      <c r="EK176" s="94">
        <f t="shared" si="445"/>
        <v>3659</v>
      </c>
      <c r="EL176" s="94">
        <f t="shared" si="445"/>
        <v>3490</v>
      </c>
    </row>
    <row r="177" spans="2:142" x14ac:dyDescent="0.3">
      <c r="B177" s="129" t="s">
        <v>627</v>
      </c>
      <c r="C177" s="129" t="s">
        <v>628</v>
      </c>
      <c r="D177" s="183" t="str">
        <f>IF(Menu!$D$12="PT",'Dados Financeiros'!B177,'Dados Financeiros'!C177)</f>
        <v>Aquisição participação societária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158475</v>
      </c>
      <c r="AS177" s="4">
        <v>0</v>
      </c>
      <c r="AT177" s="4">
        <v>0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9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  <c r="BH177" s="4">
        <v>0</v>
      </c>
      <c r="BI177" s="4">
        <v>0</v>
      </c>
      <c r="BJ177" s="4">
        <v>0</v>
      </c>
      <c r="BK177" s="4">
        <v>0</v>
      </c>
      <c r="BL177" s="4">
        <v>0</v>
      </c>
      <c r="BM177" s="4">
        <v>0</v>
      </c>
      <c r="BN177" s="4">
        <v>0</v>
      </c>
      <c r="BO177" s="4">
        <v>0</v>
      </c>
      <c r="BP177" s="4">
        <v>0</v>
      </c>
      <c r="BQ177" s="4">
        <v>0</v>
      </c>
      <c r="BR177" s="4">
        <v>0</v>
      </c>
      <c r="BS177" s="4">
        <v>0</v>
      </c>
      <c r="BT177" s="4">
        <v>0</v>
      </c>
      <c r="BU177" s="4">
        <v>0</v>
      </c>
      <c r="BV177" s="4">
        <v>0</v>
      </c>
      <c r="BW177" s="4">
        <v>755</v>
      </c>
      <c r="BX177" s="4">
        <v>0</v>
      </c>
      <c r="BY177" s="4">
        <v>0</v>
      </c>
      <c r="BZ177" s="4">
        <v>0</v>
      </c>
      <c r="CA177" s="4">
        <v>0</v>
      </c>
      <c r="CB177" s="4">
        <v>-3798</v>
      </c>
      <c r="CC177" s="4">
        <v>0</v>
      </c>
      <c r="CD177" s="4">
        <v>0</v>
      </c>
      <c r="CE177" s="4">
        <v>4109</v>
      </c>
      <c r="CF177" s="4">
        <v>0</v>
      </c>
      <c r="CH177" s="94">
        <f t="shared" si="440"/>
        <v>0</v>
      </c>
      <c r="CI177" s="94">
        <f t="shared" si="440"/>
        <v>0</v>
      </c>
      <c r="CJ177" s="94">
        <f t="shared" si="440"/>
        <v>0</v>
      </c>
      <c r="CK177" s="94">
        <f t="shared" si="440"/>
        <v>0</v>
      </c>
      <c r="CL177" s="94">
        <f t="shared" si="440"/>
        <v>0</v>
      </c>
      <c r="CM177" s="94">
        <f t="shared" si="440"/>
        <v>0</v>
      </c>
      <c r="CN177" s="94">
        <f t="shared" si="440"/>
        <v>0</v>
      </c>
      <c r="CO177" s="94">
        <f t="shared" si="440"/>
        <v>0</v>
      </c>
      <c r="CP177" s="94">
        <f t="shared" si="440"/>
        <v>0</v>
      </c>
      <c r="CQ177" s="94">
        <f t="shared" si="440"/>
        <v>0</v>
      </c>
      <c r="CR177" s="94">
        <f t="shared" si="441"/>
        <v>0</v>
      </c>
      <c r="CS177" s="94">
        <f t="shared" si="441"/>
        <v>0</v>
      </c>
      <c r="CT177" s="94">
        <f t="shared" si="441"/>
        <v>0</v>
      </c>
      <c r="CU177" s="94">
        <f t="shared" si="441"/>
        <v>0</v>
      </c>
      <c r="CV177" s="94">
        <f t="shared" si="441"/>
        <v>0</v>
      </c>
      <c r="CW177" s="94">
        <f t="shared" si="441"/>
        <v>0</v>
      </c>
      <c r="CX177" s="94">
        <f t="shared" si="441"/>
        <v>0</v>
      </c>
      <c r="CY177" s="94">
        <f t="shared" si="441"/>
        <v>0</v>
      </c>
      <c r="CZ177" s="94">
        <f t="shared" si="441"/>
        <v>0</v>
      </c>
      <c r="DA177" s="94">
        <f t="shared" si="441"/>
        <v>0</v>
      </c>
      <c r="DB177" s="94">
        <f t="shared" si="442"/>
        <v>0</v>
      </c>
      <c r="DC177" s="94">
        <f t="shared" si="442"/>
        <v>0</v>
      </c>
      <c r="DD177" s="94">
        <f t="shared" si="442"/>
        <v>0</v>
      </c>
      <c r="DE177" s="94">
        <f t="shared" si="442"/>
        <v>0</v>
      </c>
      <c r="DF177" s="94">
        <f t="shared" si="442"/>
        <v>0</v>
      </c>
      <c r="DG177" s="94">
        <f t="shared" si="442"/>
        <v>0</v>
      </c>
      <c r="DH177" s="94">
        <f t="shared" si="442"/>
        <v>158475</v>
      </c>
      <c r="DI177" s="94">
        <f t="shared" si="442"/>
        <v>0</v>
      </c>
      <c r="DJ177" s="94">
        <f t="shared" si="442"/>
        <v>0</v>
      </c>
      <c r="DK177" s="94">
        <f t="shared" si="442"/>
        <v>0</v>
      </c>
      <c r="DL177" s="94">
        <f t="shared" si="443"/>
        <v>0</v>
      </c>
      <c r="DM177" s="94">
        <f t="shared" si="443"/>
        <v>0</v>
      </c>
      <c r="DN177" s="94">
        <f t="shared" si="443"/>
        <v>0</v>
      </c>
      <c r="DO177" s="94">
        <f t="shared" si="443"/>
        <v>0</v>
      </c>
      <c r="DP177" s="94">
        <f t="shared" si="443"/>
        <v>0</v>
      </c>
      <c r="DQ177" s="94">
        <f t="shared" si="443"/>
        <v>0</v>
      </c>
      <c r="DR177" s="94">
        <f t="shared" si="443"/>
        <v>0</v>
      </c>
      <c r="DS177" s="94">
        <f t="shared" si="443"/>
        <v>0</v>
      </c>
      <c r="DT177" s="94">
        <f t="shared" si="443"/>
        <v>0</v>
      </c>
      <c r="DU177" s="94">
        <f t="shared" si="443"/>
        <v>0</v>
      </c>
      <c r="DV177" s="94">
        <f t="shared" si="444"/>
        <v>0</v>
      </c>
      <c r="DW177" s="94">
        <f t="shared" si="444"/>
        <v>0</v>
      </c>
      <c r="DX177" s="94">
        <f t="shared" si="444"/>
        <v>0</v>
      </c>
      <c r="DY177" s="94">
        <f t="shared" si="444"/>
        <v>0</v>
      </c>
      <c r="DZ177" s="94">
        <f t="shared" si="444"/>
        <v>0</v>
      </c>
      <c r="EA177" s="94">
        <f t="shared" si="444"/>
        <v>0</v>
      </c>
      <c r="EB177" s="94">
        <f t="shared" si="444"/>
        <v>0</v>
      </c>
      <c r="EC177" s="94">
        <f t="shared" si="444"/>
        <v>0</v>
      </c>
      <c r="ED177" s="94">
        <f t="shared" si="444"/>
        <v>0</v>
      </c>
      <c r="EE177" s="94">
        <f t="shared" si="444"/>
        <v>755</v>
      </c>
      <c r="EF177" s="94">
        <f t="shared" si="445"/>
        <v>755</v>
      </c>
      <c r="EG177" s="94">
        <f t="shared" si="445"/>
        <v>0</v>
      </c>
      <c r="EH177" s="94">
        <f t="shared" si="445"/>
        <v>0</v>
      </c>
      <c r="EI177" s="94">
        <f t="shared" si="445"/>
        <v>-3798</v>
      </c>
      <c r="EJ177" s="94">
        <f t="shared" si="445"/>
        <v>0</v>
      </c>
      <c r="EK177" s="94">
        <f t="shared" si="445"/>
        <v>4109</v>
      </c>
      <c r="EL177" s="94">
        <f t="shared" si="445"/>
        <v>4109</v>
      </c>
    </row>
    <row r="178" spans="2:142" x14ac:dyDescent="0.3">
      <c r="B178" s="129" t="s">
        <v>629</v>
      </c>
      <c r="C178" s="129" t="s">
        <v>630</v>
      </c>
      <c r="D178" s="183" t="str">
        <f>IF(Menu!$D$12="PT",'Dados Financeiros'!B178,'Dados Financeiros'!C178)</f>
        <v>Caixa líquido gerado na venda de participação societária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9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3306</v>
      </c>
      <c r="BH178" s="4">
        <v>0</v>
      </c>
      <c r="BI178" s="4">
        <v>0</v>
      </c>
      <c r="BJ178" s="4">
        <v>0</v>
      </c>
      <c r="BK178" s="4">
        <v>0</v>
      </c>
      <c r="BL178" s="4">
        <v>0</v>
      </c>
      <c r="BM178" s="4">
        <v>18731</v>
      </c>
      <c r="BN178" s="4">
        <v>0</v>
      </c>
      <c r="BO178" s="4">
        <v>49</v>
      </c>
      <c r="BP178" s="4">
        <v>39614</v>
      </c>
      <c r="BQ178" s="4">
        <v>16954</v>
      </c>
      <c r="BR178" s="4">
        <v>0</v>
      </c>
      <c r="BS178" s="4">
        <v>0</v>
      </c>
      <c r="BT178" s="4">
        <v>-16954</v>
      </c>
      <c r="BU178" s="4">
        <v>0</v>
      </c>
      <c r="BV178" s="4">
        <v>0</v>
      </c>
      <c r="BW178" s="4">
        <v>0</v>
      </c>
      <c r="BX178" s="4">
        <v>0</v>
      </c>
      <c r="BY178" s="4">
        <v>50000</v>
      </c>
      <c r="BZ178" s="4">
        <v>0</v>
      </c>
      <c r="CA178" s="4">
        <v>0</v>
      </c>
      <c r="CB178" s="4">
        <v>0</v>
      </c>
      <c r="CC178" s="4">
        <v>0</v>
      </c>
      <c r="CD178" s="4">
        <v>0</v>
      </c>
      <c r="CE178" s="4">
        <v>0</v>
      </c>
      <c r="CF178" s="4">
        <v>0</v>
      </c>
      <c r="CH178" s="94">
        <f t="shared" si="440"/>
        <v>0</v>
      </c>
      <c r="CI178" s="94">
        <f t="shared" si="440"/>
        <v>0</v>
      </c>
      <c r="CJ178" s="94">
        <f t="shared" si="440"/>
        <v>0</v>
      </c>
      <c r="CK178" s="94">
        <f t="shared" si="440"/>
        <v>0</v>
      </c>
      <c r="CL178" s="94">
        <f t="shared" si="440"/>
        <v>0</v>
      </c>
      <c r="CM178" s="94">
        <f t="shared" si="440"/>
        <v>0</v>
      </c>
      <c r="CN178" s="94">
        <f t="shared" si="440"/>
        <v>0</v>
      </c>
      <c r="CO178" s="94">
        <f t="shared" si="440"/>
        <v>0</v>
      </c>
      <c r="CP178" s="94">
        <f t="shared" si="440"/>
        <v>0</v>
      </c>
      <c r="CQ178" s="94">
        <f t="shared" si="440"/>
        <v>0</v>
      </c>
      <c r="CR178" s="94">
        <f t="shared" si="441"/>
        <v>0</v>
      </c>
      <c r="CS178" s="94">
        <f t="shared" si="441"/>
        <v>0</v>
      </c>
      <c r="CT178" s="94">
        <f t="shared" si="441"/>
        <v>0</v>
      </c>
      <c r="CU178" s="94">
        <f t="shared" si="441"/>
        <v>0</v>
      </c>
      <c r="CV178" s="94">
        <f t="shared" si="441"/>
        <v>0</v>
      </c>
      <c r="CW178" s="94">
        <f t="shared" si="441"/>
        <v>0</v>
      </c>
      <c r="CX178" s="94">
        <f t="shared" si="441"/>
        <v>0</v>
      </c>
      <c r="CY178" s="94">
        <f t="shared" si="441"/>
        <v>0</v>
      </c>
      <c r="CZ178" s="94">
        <f t="shared" si="441"/>
        <v>0</v>
      </c>
      <c r="DA178" s="94">
        <f t="shared" si="441"/>
        <v>0</v>
      </c>
      <c r="DB178" s="94">
        <f t="shared" si="442"/>
        <v>0</v>
      </c>
      <c r="DC178" s="94">
        <f t="shared" si="442"/>
        <v>0</v>
      </c>
      <c r="DD178" s="94">
        <f t="shared" si="442"/>
        <v>0</v>
      </c>
      <c r="DE178" s="94">
        <f t="shared" si="442"/>
        <v>0</v>
      </c>
      <c r="DF178" s="94">
        <f t="shared" si="442"/>
        <v>0</v>
      </c>
      <c r="DG178" s="94">
        <f t="shared" si="442"/>
        <v>0</v>
      </c>
      <c r="DH178" s="94">
        <f t="shared" si="442"/>
        <v>0</v>
      </c>
      <c r="DI178" s="94">
        <f t="shared" si="442"/>
        <v>0</v>
      </c>
      <c r="DJ178" s="94">
        <f t="shared" si="442"/>
        <v>0</v>
      </c>
      <c r="DK178" s="94">
        <f t="shared" si="442"/>
        <v>0</v>
      </c>
      <c r="DL178" s="94">
        <f t="shared" si="443"/>
        <v>0</v>
      </c>
      <c r="DM178" s="94">
        <f t="shared" si="443"/>
        <v>0</v>
      </c>
      <c r="DN178" s="94">
        <f t="shared" si="443"/>
        <v>0</v>
      </c>
      <c r="DO178" s="94">
        <f t="shared" si="443"/>
        <v>0</v>
      </c>
      <c r="DP178" s="94">
        <f t="shared" si="443"/>
        <v>0</v>
      </c>
      <c r="DQ178" s="94">
        <f t="shared" si="443"/>
        <v>0</v>
      </c>
      <c r="DR178" s="94">
        <f t="shared" si="443"/>
        <v>0</v>
      </c>
      <c r="DS178" s="94">
        <f t="shared" si="443"/>
        <v>3306</v>
      </c>
      <c r="DT178" s="94">
        <f t="shared" si="443"/>
        <v>3306</v>
      </c>
      <c r="DU178" s="94">
        <f t="shared" si="443"/>
        <v>0</v>
      </c>
      <c r="DV178" s="94">
        <f t="shared" si="444"/>
        <v>0</v>
      </c>
      <c r="DW178" s="94">
        <f t="shared" si="444"/>
        <v>0</v>
      </c>
      <c r="DX178" s="94">
        <f t="shared" si="444"/>
        <v>18731</v>
      </c>
      <c r="DY178" s="94">
        <f t="shared" si="444"/>
        <v>18780</v>
      </c>
      <c r="DZ178" s="94">
        <f t="shared" si="444"/>
        <v>58394</v>
      </c>
      <c r="EA178" s="94">
        <f t="shared" si="444"/>
        <v>16954</v>
      </c>
      <c r="EB178" s="94">
        <f t="shared" si="444"/>
        <v>16954</v>
      </c>
      <c r="EC178" s="94">
        <f t="shared" si="444"/>
        <v>0</v>
      </c>
      <c r="ED178" s="94">
        <f t="shared" si="444"/>
        <v>0</v>
      </c>
      <c r="EE178" s="94">
        <f t="shared" si="444"/>
        <v>0</v>
      </c>
      <c r="EF178" s="94">
        <f t="shared" si="445"/>
        <v>0</v>
      </c>
      <c r="EG178" s="94">
        <f t="shared" si="445"/>
        <v>50000</v>
      </c>
      <c r="EH178" s="94">
        <f t="shared" si="445"/>
        <v>50000</v>
      </c>
      <c r="EI178" s="94">
        <f t="shared" si="445"/>
        <v>50000</v>
      </c>
      <c r="EJ178" s="94">
        <f t="shared" si="445"/>
        <v>0</v>
      </c>
      <c r="EK178" s="94">
        <f t="shared" si="445"/>
        <v>0</v>
      </c>
      <c r="EL178" s="94">
        <f t="shared" si="445"/>
        <v>0</v>
      </c>
    </row>
    <row r="179" spans="2:142" x14ac:dyDescent="0.3">
      <c r="B179" s="129" t="s">
        <v>631</v>
      </c>
      <c r="C179" s="129" t="s">
        <v>480</v>
      </c>
      <c r="D179" s="183" t="str">
        <f>IF(Menu!$D$12="PT",'Dados Financeiros'!B179,'Dados Financeiros'!C179)</f>
        <v>Dividendos recebidos - INV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10203</v>
      </c>
      <c r="AC179" s="4">
        <v>0</v>
      </c>
      <c r="AD179" s="4">
        <v>1228</v>
      </c>
      <c r="AE179" s="4">
        <v>0</v>
      </c>
      <c r="AF179" s="4">
        <v>-11431</v>
      </c>
      <c r="AG179" s="4">
        <v>1000</v>
      </c>
      <c r="AH179" s="4">
        <v>0</v>
      </c>
      <c r="AI179" s="4">
        <v>6532</v>
      </c>
      <c r="AJ179" s="4">
        <v>5202</v>
      </c>
      <c r="AK179" s="4">
        <v>0</v>
      </c>
      <c r="AL179" s="4">
        <v>6855</v>
      </c>
      <c r="AM179" s="4">
        <v>37137</v>
      </c>
      <c r="AN179" s="4">
        <v>10411</v>
      </c>
      <c r="AO179" s="4">
        <v>0</v>
      </c>
      <c r="AP179" s="4">
        <v>8872</v>
      </c>
      <c r="AQ179" s="4">
        <v>0</v>
      </c>
      <c r="AR179" s="4">
        <v>0</v>
      </c>
      <c r="AS179" s="4">
        <v>3442</v>
      </c>
      <c r="AT179" s="4">
        <v>5738</v>
      </c>
      <c r="AU179" s="4">
        <v>0</v>
      </c>
      <c r="AV179" s="4">
        <v>2304</v>
      </c>
      <c r="AW179" s="4">
        <v>0</v>
      </c>
      <c r="AX179" s="4">
        <v>0</v>
      </c>
      <c r="AY179" s="4">
        <v>4500</v>
      </c>
      <c r="AZ179" s="4">
        <v>3000</v>
      </c>
      <c r="BA179" s="9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4">
        <v>0</v>
      </c>
      <c r="BN179" s="4">
        <v>0</v>
      </c>
      <c r="BO179" s="4">
        <v>0</v>
      </c>
      <c r="BP179" s="4">
        <v>0</v>
      </c>
      <c r="BQ179" s="4">
        <v>0</v>
      </c>
      <c r="BR179" s="4">
        <v>0</v>
      </c>
      <c r="BS179" s="4">
        <v>0</v>
      </c>
      <c r="BT179" s="4">
        <v>0</v>
      </c>
      <c r="BU179" s="4">
        <v>0</v>
      </c>
      <c r="BV179" s="4">
        <v>0</v>
      </c>
      <c r="BW179" s="4">
        <v>0</v>
      </c>
      <c r="BX179" s="4">
        <v>0</v>
      </c>
      <c r="BY179" s="4">
        <v>0</v>
      </c>
      <c r="BZ179" s="4">
        <v>0</v>
      </c>
      <c r="CA179" s="4">
        <v>0</v>
      </c>
      <c r="CB179" s="4">
        <v>0</v>
      </c>
      <c r="CC179" s="4">
        <v>0</v>
      </c>
      <c r="CD179" s="4">
        <v>0</v>
      </c>
      <c r="CE179" s="4">
        <v>0</v>
      </c>
      <c r="CF179" s="4">
        <v>0</v>
      </c>
      <c r="CH179" s="94">
        <f t="shared" si="440"/>
        <v>0</v>
      </c>
      <c r="CI179" s="94">
        <f t="shared" si="440"/>
        <v>0</v>
      </c>
      <c r="CJ179" s="94">
        <f t="shared" si="440"/>
        <v>0</v>
      </c>
      <c r="CK179" s="94">
        <f t="shared" si="440"/>
        <v>0</v>
      </c>
      <c r="CL179" s="94">
        <f t="shared" si="440"/>
        <v>0</v>
      </c>
      <c r="CM179" s="94">
        <f t="shared" si="440"/>
        <v>0</v>
      </c>
      <c r="CN179" s="94">
        <f t="shared" si="440"/>
        <v>0</v>
      </c>
      <c r="CO179" s="94">
        <f t="shared" si="440"/>
        <v>0</v>
      </c>
      <c r="CP179" s="94">
        <f t="shared" si="440"/>
        <v>0</v>
      </c>
      <c r="CQ179" s="94">
        <f t="shared" si="440"/>
        <v>0</v>
      </c>
      <c r="CR179" s="94">
        <f t="shared" si="441"/>
        <v>0</v>
      </c>
      <c r="CS179" s="94">
        <f t="shared" si="441"/>
        <v>0</v>
      </c>
      <c r="CT179" s="94">
        <f t="shared" si="441"/>
        <v>0</v>
      </c>
      <c r="CU179" s="94">
        <f t="shared" si="441"/>
        <v>0</v>
      </c>
      <c r="CV179" s="94">
        <f t="shared" si="441"/>
        <v>0</v>
      </c>
      <c r="CW179" s="94">
        <f t="shared" si="441"/>
        <v>10203</v>
      </c>
      <c r="CX179" s="94">
        <f t="shared" si="441"/>
        <v>11431</v>
      </c>
      <c r="CY179" s="94">
        <f t="shared" si="441"/>
        <v>0</v>
      </c>
      <c r="CZ179" s="94">
        <f t="shared" si="441"/>
        <v>1000</v>
      </c>
      <c r="DA179" s="94">
        <f t="shared" si="441"/>
        <v>7532</v>
      </c>
      <c r="DB179" s="94">
        <f t="shared" si="442"/>
        <v>12734</v>
      </c>
      <c r="DC179" s="94">
        <f t="shared" si="442"/>
        <v>6855</v>
      </c>
      <c r="DD179" s="94">
        <f t="shared" si="442"/>
        <v>43992</v>
      </c>
      <c r="DE179" s="94">
        <f t="shared" si="442"/>
        <v>54403</v>
      </c>
      <c r="DF179" s="94">
        <f t="shared" si="442"/>
        <v>8872</v>
      </c>
      <c r="DG179" s="94">
        <f t="shared" si="442"/>
        <v>8872</v>
      </c>
      <c r="DH179" s="94">
        <f t="shared" si="442"/>
        <v>8872</v>
      </c>
      <c r="DI179" s="94">
        <f t="shared" si="442"/>
        <v>9180</v>
      </c>
      <c r="DJ179" s="94">
        <f t="shared" si="442"/>
        <v>9180</v>
      </c>
      <c r="DK179" s="94">
        <f t="shared" si="442"/>
        <v>11484</v>
      </c>
      <c r="DL179" s="94">
        <f t="shared" si="443"/>
        <v>0</v>
      </c>
      <c r="DM179" s="94">
        <f t="shared" si="443"/>
        <v>4500</v>
      </c>
      <c r="DN179" s="94">
        <f t="shared" si="443"/>
        <v>7500</v>
      </c>
      <c r="DO179" s="94">
        <f t="shared" si="443"/>
        <v>0</v>
      </c>
      <c r="DP179" s="94">
        <f t="shared" si="443"/>
        <v>0</v>
      </c>
      <c r="DQ179" s="94">
        <f t="shared" si="443"/>
        <v>0</v>
      </c>
      <c r="DR179" s="94">
        <f t="shared" si="443"/>
        <v>0</v>
      </c>
      <c r="DS179" s="94">
        <f t="shared" si="443"/>
        <v>0</v>
      </c>
      <c r="DT179" s="94">
        <f t="shared" si="443"/>
        <v>0</v>
      </c>
      <c r="DU179" s="94">
        <f t="shared" si="443"/>
        <v>0</v>
      </c>
      <c r="DV179" s="94">
        <f t="shared" si="444"/>
        <v>0</v>
      </c>
      <c r="DW179" s="94">
        <f t="shared" si="444"/>
        <v>0</v>
      </c>
      <c r="DX179" s="94">
        <f t="shared" si="444"/>
        <v>0</v>
      </c>
      <c r="DY179" s="94">
        <f t="shared" si="444"/>
        <v>0</v>
      </c>
      <c r="DZ179" s="94">
        <f t="shared" si="444"/>
        <v>0</v>
      </c>
      <c r="EA179" s="94">
        <f t="shared" si="444"/>
        <v>0</v>
      </c>
      <c r="EB179" s="94">
        <f t="shared" si="444"/>
        <v>0</v>
      </c>
      <c r="EC179" s="94">
        <f t="shared" si="444"/>
        <v>0</v>
      </c>
      <c r="ED179" s="94">
        <f t="shared" si="444"/>
        <v>0</v>
      </c>
      <c r="EE179" s="94">
        <f t="shared" si="444"/>
        <v>0</v>
      </c>
      <c r="EF179" s="94">
        <f t="shared" si="445"/>
        <v>0</v>
      </c>
      <c r="EG179" s="94">
        <f t="shared" si="445"/>
        <v>0</v>
      </c>
      <c r="EH179" s="94">
        <f t="shared" si="445"/>
        <v>0</v>
      </c>
      <c r="EI179" s="94">
        <f t="shared" si="445"/>
        <v>0</v>
      </c>
      <c r="EJ179" s="94">
        <f t="shared" si="445"/>
        <v>0</v>
      </c>
      <c r="EK179" s="94">
        <f t="shared" si="445"/>
        <v>0</v>
      </c>
      <c r="EL179" s="94">
        <f t="shared" si="445"/>
        <v>0</v>
      </c>
    </row>
    <row r="180" spans="2:142" x14ac:dyDescent="0.3">
      <c r="B180" s="129" t="s">
        <v>790</v>
      </c>
      <c r="C180" s="129" t="s">
        <v>791</v>
      </c>
      <c r="D180" s="183" t="str">
        <f>IF(Menu!$D$12="PT",'Dados Financeiros'!B180,'Dados Financeiros'!C180)</f>
        <v>Propriedade para investimento</v>
      </c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  <c r="AA180" s="94"/>
      <c r="AB180" s="94"/>
      <c r="AC180" s="94"/>
      <c r="AD180" s="94"/>
      <c r="AE180" s="94"/>
      <c r="AF180" s="94"/>
      <c r="AG180" s="94"/>
      <c r="AH180" s="94"/>
      <c r="AI180" s="94"/>
      <c r="AJ180" s="94"/>
      <c r="AK180" s="94"/>
      <c r="AL180" s="94"/>
      <c r="AM180" s="94"/>
      <c r="AN180" s="94"/>
      <c r="AO180" s="94"/>
      <c r="AP180" s="94"/>
      <c r="AQ180" s="94"/>
      <c r="AR180" s="94"/>
      <c r="AS180" s="94"/>
      <c r="AT180" s="94"/>
      <c r="AU180" s="94"/>
      <c r="AV180" s="94"/>
      <c r="AW180" s="94"/>
      <c r="AX180" s="94"/>
      <c r="AY180" s="94"/>
      <c r="AZ180" s="94"/>
      <c r="BA180" s="94"/>
      <c r="BB180" s="94"/>
      <c r="BC180" s="94"/>
      <c r="BD180" s="94"/>
      <c r="BE180" s="94"/>
      <c r="BF180" s="94"/>
      <c r="BG180" s="94"/>
      <c r="BH180" s="94"/>
      <c r="BI180" s="94"/>
      <c r="BJ180" s="94"/>
      <c r="BK180" s="94"/>
      <c r="BL180" s="94"/>
      <c r="BM180" s="94"/>
      <c r="BN180" s="94"/>
      <c r="BO180" s="94"/>
      <c r="BP180" s="94"/>
      <c r="BQ180" s="94"/>
      <c r="BR180" s="94"/>
      <c r="BS180" s="94"/>
      <c r="BT180" s="94"/>
      <c r="BU180" s="94"/>
      <c r="BV180" s="94"/>
      <c r="BW180" s="94"/>
      <c r="BX180" s="94"/>
      <c r="BY180" s="94"/>
      <c r="BZ180" s="4">
        <v>-36146</v>
      </c>
      <c r="CA180" s="4">
        <v>0</v>
      </c>
      <c r="CB180" s="4">
        <v>0</v>
      </c>
      <c r="CC180" s="4">
        <v>0</v>
      </c>
      <c r="CD180" s="4">
        <v>4109</v>
      </c>
      <c r="CE180" s="4">
        <v>-4109</v>
      </c>
      <c r="CF180" s="4">
        <v>0</v>
      </c>
      <c r="CH180" s="94">
        <f t="shared" si="440"/>
        <v>0</v>
      </c>
      <c r="CI180" s="94">
        <f t="shared" si="440"/>
        <v>0</v>
      </c>
      <c r="CJ180" s="94">
        <f t="shared" si="440"/>
        <v>0</v>
      </c>
      <c r="CK180" s="94">
        <f t="shared" si="440"/>
        <v>0</v>
      </c>
      <c r="CL180" s="94">
        <f t="shared" si="440"/>
        <v>0</v>
      </c>
      <c r="CM180" s="94">
        <f t="shared" si="440"/>
        <v>0</v>
      </c>
      <c r="CN180" s="94">
        <f t="shared" si="440"/>
        <v>0</v>
      </c>
      <c r="CO180" s="94">
        <f t="shared" si="440"/>
        <v>0</v>
      </c>
      <c r="CP180" s="94">
        <f t="shared" si="440"/>
        <v>0</v>
      </c>
      <c r="CQ180" s="94">
        <f t="shared" si="440"/>
        <v>0</v>
      </c>
      <c r="CR180" s="94">
        <f t="shared" si="441"/>
        <v>0</v>
      </c>
      <c r="CS180" s="94">
        <f t="shared" si="441"/>
        <v>0</v>
      </c>
      <c r="CT180" s="94">
        <f t="shared" si="441"/>
        <v>0</v>
      </c>
      <c r="CU180" s="94">
        <f t="shared" si="441"/>
        <v>0</v>
      </c>
      <c r="CV180" s="94">
        <f t="shared" si="441"/>
        <v>0</v>
      </c>
      <c r="CW180" s="94">
        <f t="shared" si="441"/>
        <v>0</v>
      </c>
      <c r="CX180" s="94">
        <f t="shared" si="441"/>
        <v>0</v>
      </c>
      <c r="CY180" s="94">
        <f t="shared" si="441"/>
        <v>0</v>
      </c>
      <c r="CZ180" s="94">
        <f t="shared" si="441"/>
        <v>0</v>
      </c>
      <c r="DA180" s="94">
        <f t="shared" si="441"/>
        <v>0</v>
      </c>
      <c r="DB180" s="94">
        <f t="shared" si="442"/>
        <v>0</v>
      </c>
      <c r="DC180" s="94">
        <f t="shared" si="442"/>
        <v>0</v>
      </c>
      <c r="DD180" s="94">
        <f t="shared" si="442"/>
        <v>0</v>
      </c>
      <c r="DE180" s="94">
        <f t="shared" si="442"/>
        <v>0</v>
      </c>
      <c r="DF180" s="94">
        <f t="shared" si="442"/>
        <v>0</v>
      </c>
      <c r="DG180" s="94">
        <f t="shared" si="442"/>
        <v>0</v>
      </c>
      <c r="DH180" s="94">
        <f t="shared" si="442"/>
        <v>0</v>
      </c>
      <c r="DI180" s="94">
        <f t="shared" si="442"/>
        <v>0</v>
      </c>
      <c r="DJ180" s="94">
        <f t="shared" si="442"/>
        <v>0</v>
      </c>
      <c r="DK180" s="94">
        <f t="shared" si="442"/>
        <v>0</v>
      </c>
      <c r="DL180" s="94">
        <f t="shared" si="443"/>
        <v>0</v>
      </c>
      <c r="DM180" s="94">
        <f t="shared" si="443"/>
        <v>0</v>
      </c>
      <c r="DN180" s="94">
        <f t="shared" si="443"/>
        <v>0</v>
      </c>
      <c r="DO180" s="94">
        <f t="shared" si="443"/>
        <v>0</v>
      </c>
      <c r="DP180" s="94">
        <f t="shared" si="443"/>
        <v>0</v>
      </c>
      <c r="DQ180" s="94">
        <f t="shared" si="443"/>
        <v>0</v>
      </c>
      <c r="DR180" s="94">
        <f t="shared" si="443"/>
        <v>0</v>
      </c>
      <c r="DS180" s="94">
        <f t="shared" si="443"/>
        <v>0</v>
      </c>
      <c r="DT180" s="94">
        <f t="shared" si="443"/>
        <v>0</v>
      </c>
      <c r="DU180" s="94">
        <f t="shared" si="443"/>
        <v>0</v>
      </c>
      <c r="DV180" s="94">
        <f t="shared" si="444"/>
        <v>0</v>
      </c>
      <c r="DW180" s="94">
        <f t="shared" si="444"/>
        <v>0</v>
      </c>
      <c r="DX180" s="94">
        <f t="shared" si="444"/>
        <v>0</v>
      </c>
      <c r="DY180" s="94">
        <f t="shared" si="444"/>
        <v>0</v>
      </c>
      <c r="DZ180" s="94">
        <f t="shared" si="444"/>
        <v>0</v>
      </c>
      <c r="EA180" s="94">
        <f t="shared" si="444"/>
        <v>0</v>
      </c>
      <c r="EB180" s="94">
        <f t="shared" si="444"/>
        <v>0</v>
      </c>
      <c r="EC180" s="94">
        <f t="shared" si="444"/>
        <v>0</v>
      </c>
      <c r="ED180" s="94">
        <f t="shared" si="444"/>
        <v>0</v>
      </c>
      <c r="EE180" s="94">
        <f t="shared" si="444"/>
        <v>0</v>
      </c>
      <c r="EF180" s="94">
        <f t="shared" si="445"/>
        <v>0</v>
      </c>
      <c r="EG180" s="94">
        <f t="shared" si="445"/>
        <v>-36146</v>
      </c>
      <c r="EH180" s="94">
        <f t="shared" si="445"/>
        <v>-36146</v>
      </c>
      <c r="EI180" s="94">
        <f t="shared" si="445"/>
        <v>-36146</v>
      </c>
      <c r="EJ180" s="94">
        <f t="shared" si="445"/>
        <v>4109</v>
      </c>
      <c r="EK180" s="94">
        <f t="shared" si="445"/>
        <v>0</v>
      </c>
      <c r="EL180" s="94">
        <f t="shared" si="445"/>
        <v>0</v>
      </c>
    </row>
    <row r="181" spans="2:142" x14ac:dyDescent="0.3">
      <c r="B181" s="129" t="s">
        <v>632</v>
      </c>
      <c r="C181" s="129" t="s">
        <v>497</v>
      </c>
      <c r="D181" s="183" t="str">
        <f>IF(Menu!$D$12="PT",'Dados Financeiros'!B181,'Dados Financeiros'!C181)</f>
        <v>Efeito das mudanças de participações em investidas no caixa e equivalentes - INV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9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4">
        <v>-4269</v>
      </c>
      <c r="BH181" s="4">
        <v>171</v>
      </c>
      <c r="BI181" s="4">
        <v>-6</v>
      </c>
      <c r="BJ181" s="4">
        <v>0</v>
      </c>
      <c r="BK181" s="4">
        <v>0</v>
      </c>
      <c r="BL181" s="4">
        <v>6</v>
      </c>
      <c r="BM181" s="4">
        <v>0</v>
      </c>
      <c r="BN181" s="4">
        <v>0</v>
      </c>
      <c r="BO181" s="4">
        <v>0</v>
      </c>
      <c r="BP181" s="4">
        <v>0</v>
      </c>
      <c r="BQ181" s="4">
        <v>0</v>
      </c>
      <c r="BR181" s="4">
        <v>0</v>
      </c>
      <c r="BS181" s="4">
        <v>0</v>
      </c>
      <c r="BT181" s="4">
        <v>0</v>
      </c>
      <c r="BU181" s="4">
        <v>0</v>
      </c>
      <c r="BV181" s="4">
        <v>0</v>
      </c>
      <c r="BW181" s="4">
        <v>0</v>
      </c>
      <c r="BX181" s="4">
        <v>0</v>
      </c>
      <c r="BY181" s="4">
        <v>0</v>
      </c>
      <c r="BZ181" s="4">
        <v>0</v>
      </c>
      <c r="CA181" s="4">
        <v>0</v>
      </c>
      <c r="CB181" s="4">
        <v>0</v>
      </c>
      <c r="CC181" s="4">
        <v>0</v>
      </c>
      <c r="CD181" s="4">
        <v>0</v>
      </c>
      <c r="CE181" s="4">
        <v>0</v>
      </c>
      <c r="CF181" s="4">
        <v>0</v>
      </c>
      <c r="CH181" s="94">
        <f t="shared" si="440"/>
        <v>0</v>
      </c>
      <c r="CI181" s="94">
        <f t="shared" si="440"/>
        <v>0</v>
      </c>
      <c r="CJ181" s="94">
        <f t="shared" si="440"/>
        <v>0</v>
      </c>
      <c r="CK181" s="94">
        <f t="shared" si="440"/>
        <v>0</v>
      </c>
      <c r="CL181" s="94">
        <f t="shared" si="440"/>
        <v>0</v>
      </c>
      <c r="CM181" s="94">
        <f t="shared" si="440"/>
        <v>0</v>
      </c>
      <c r="CN181" s="94">
        <f t="shared" si="440"/>
        <v>0</v>
      </c>
      <c r="CO181" s="94">
        <f t="shared" si="440"/>
        <v>0</v>
      </c>
      <c r="CP181" s="94">
        <f t="shared" si="440"/>
        <v>0</v>
      </c>
      <c r="CQ181" s="94">
        <f t="shared" si="440"/>
        <v>0</v>
      </c>
      <c r="CR181" s="94">
        <f t="shared" si="441"/>
        <v>0</v>
      </c>
      <c r="CS181" s="94">
        <f t="shared" si="441"/>
        <v>0</v>
      </c>
      <c r="CT181" s="94">
        <f t="shared" si="441"/>
        <v>0</v>
      </c>
      <c r="CU181" s="94">
        <f t="shared" si="441"/>
        <v>0</v>
      </c>
      <c r="CV181" s="94">
        <f t="shared" si="441"/>
        <v>0</v>
      </c>
      <c r="CW181" s="94">
        <f t="shared" si="441"/>
        <v>0</v>
      </c>
      <c r="CX181" s="94">
        <f t="shared" si="441"/>
        <v>0</v>
      </c>
      <c r="CY181" s="94">
        <f t="shared" si="441"/>
        <v>0</v>
      </c>
      <c r="CZ181" s="94">
        <f t="shared" si="441"/>
        <v>0</v>
      </c>
      <c r="DA181" s="94">
        <f t="shared" si="441"/>
        <v>0</v>
      </c>
      <c r="DB181" s="94">
        <f t="shared" si="442"/>
        <v>0</v>
      </c>
      <c r="DC181" s="94">
        <f t="shared" si="442"/>
        <v>0</v>
      </c>
      <c r="DD181" s="94">
        <f t="shared" si="442"/>
        <v>0</v>
      </c>
      <c r="DE181" s="94">
        <f t="shared" si="442"/>
        <v>0</v>
      </c>
      <c r="DF181" s="94">
        <f t="shared" si="442"/>
        <v>0</v>
      </c>
      <c r="DG181" s="94">
        <f t="shared" si="442"/>
        <v>0</v>
      </c>
      <c r="DH181" s="94">
        <f t="shared" si="442"/>
        <v>0</v>
      </c>
      <c r="DI181" s="94">
        <f t="shared" si="442"/>
        <v>0</v>
      </c>
      <c r="DJ181" s="94">
        <f t="shared" si="442"/>
        <v>0</v>
      </c>
      <c r="DK181" s="94">
        <f t="shared" si="442"/>
        <v>0</v>
      </c>
      <c r="DL181" s="94">
        <f t="shared" si="443"/>
        <v>0</v>
      </c>
      <c r="DM181" s="94">
        <f t="shared" si="443"/>
        <v>0</v>
      </c>
      <c r="DN181" s="94">
        <f t="shared" si="443"/>
        <v>0</v>
      </c>
      <c r="DO181" s="94">
        <f t="shared" si="443"/>
        <v>0</v>
      </c>
      <c r="DP181" s="94">
        <f t="shared" si="443"/>
        <v>0</v>
      </c>
      <c r="DQ181" s="94">
        <f t="shared" si="443"/>
        <v>0</v>
      </c>
      <c r="DR181" s="94">
        <f t="shared" si="443"/>
        <v>0</v>
      </c>
      <c r="DS181" s="94">
        <f t="shared" si="443"/>
        <v>-4269</v>
      </c>
      <c r="DT181" s="94">
        <f t="shared" si="443"/>
        <v>-4098</v>
      </c>
      <c r="DU181" s="94">
        <f t="shared" si="443"/>
        <v>-6</v>
      </c>
      <c r="DV181" s="94">
        <f t="shared" si="444"/>
        <v>-6</v>
      </c>
      <c r="DW181" s="94">
        <f t="shared" si="444"/>
        <v>0</v>
      </c>
      <c r="DX181" s="94">
        <f t="shared" si="444"/>
        <v>0</v>
      </c>
      <c r="DY181" s="94">
        <f t="shared" si="444"/>
        <v>0</v>
      </c>
      <c r="DZ181" s="94">
        <f t="shared" si="444"/>
        <v>0</v>
      </c>
      <c r="EA181" s="94">
        <f t="shared" si="444"/>
        <v>0</v>
      </c>
      <c r="EB181" s="94">
        <f t="shared" si="444"/>
        <v>0</v>
      </c>
      <c r="EC181" s="94">
        <f t="shared" si="444"/>
        <v>0</v>
      </c>
      <c r="ED181" s="94">
        <f t="shared" si="444"/>
        <v>0</v>
      </c>
      <c r="EE181" s="94">
        <f t="shared" si="444"/>
        <v>0</v>
      </c>
      <c r="EF181" s="94">
        <f t="shared" si="445"/>
        <v>0</v>
      </c>
      <c r="EG181" s="94">
        <f t="shared" si="445"/>
        <v>0</v>
      </c>
      <c r="EH181" s="94">
        <f t="shared" si="445"/>
        <v>0</v>
      </c>
      <c r="EI181" s="94">
        <f t="shared" si="445"/>
        <v>0</v>
      </c>
      <c r="EJ181" s="94">
        <f t="shared" si="445"/>
        <v>0</v>
      </c>
      <c r="EK181" s="94">
        <f t="shared" si="445"/>
        <v>0</v>
      </c>
      <c r="EL181" s="94">
        <f t="shared" si="445"/>
        <v>0</v>
      </c>
    </row>
    <row r="182" spans="2:142" ht="14.4" thickBot="1" x14ac:dyDescent="0.35">
      <c r="B182" s="130" t="s">
        <v>614</v>
      </c>
      <c r="C182" s="130" t="s">
        <v>486</v>
      </c>
      <c r="D182" s="200" t="str">
        <f>IF(Menu!$D$12="PT",'Dados Financeiros'!B182,'Dados Financeiros'!C182)</f>
        <v>Efeito ajustes decorrentes Lei 11.638/07 - FCX</v>
      </c>
      <c r="E182" s="3">
        <v>0</v>
      </c>
      <c r="F182" s="3">
        <v>0</v>
      </c>
      <c r="G182" s="3">
        <v>0</v>
      </c>
      <c r="H182" s="3">
        <v>0</v>
      </c>
      <c r="I182" s="3">
        <v>-24754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/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f>0-AH182-AG182</f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H182" s="3">
        <f t="shared" si="440"/>
        <v>0</v>
      </c>
      <c r="CI182" s="3">
        <f t="shared" si="440"/>
        <v>0</v>
      </c>
      <c r="CJ182" s="3">
        <f t="shared" si="440"/>
        <v>0</v>
      </c>
      <c r="CK182" s="3">
        <f t="shared" si="440"/>
        <v>-24754</v>
      </c>
      <c r="CL182" s="3">
        <f t="shared" si="440"/>
        <v>-24754</v>
      </c>
      <c r="CM182" s="3">
        <f t="shared" si="440"/>
        <v>-24754</v>
      </c>
      <c r="CN182" s="3">
        <f t="shared" si="440"/>
        <v>0</v>
      </c>
      <c r="CO182" s="3">
        <f t="shared" si="440"/>
        <v>0</v>
      </c>
      <c r="CP182" s="3">
        <f t="shared" si="440"/>
        <v>0</v>
      </c>
      <c r="CQ182" s="3">
        <f t="shared" si="440"/>
        <v>0</v>
      </c>
      <c r="CR182" s="3">
        <f t="shared" si="441"/>
        <v>0</v>
      </c>
      <c r="CS182" s="3">
        <f t="shared" si="441"/>
        <v>0</v>
      </c>
      <c r="CT182" s="3">
        <f t="shared" si="441"/>
        <v>0</v>
      </c>
      <c r="CU182" s="3">
        <f t="shared" si="441"/>
        <v>0</v>
      </c>
      <c r="CV182" s="3">
        <f t="shared" si="441"/>
        <v>0</v>
      </c>
      <c r="CW182" s="3">
        <f t="shared" si="441"/>
        <v>0</v>
      </c>
      <c r="CX182" s="3">
        <f t="shared" si="441"/>
        <v>0</v>
      </c>
      <c r="CY182" s="3">
        <f t="shared" si="441"/>
        <v>0</v>
      </c>
      <c r="CZ182" s="3">
        <f t="shared" si="441"/>
        <v>0</v>
      </c>
      <c r="DA182" s="3">
        <f t="shared" si="441"/>
        <v>0</v>
      </c>
      <c r="DB182" s="3">
        <f t="shared" si="442"/>
        <v>0</v>
      </c>
      <c r="DC182" s="3">
        <f t="shared" si="442"/>
        <v>0</v>
      </c>
      <c r="DD182" s="3">
        <f t="shared" si="442"/>
        <v>0</v>
      </c>
      <c r="DE182" s="3">
        <f t="shared" si="442"/>
        <v>0</v>
      </c>
      <c r="DF182" s="3">
        <f t="shared" si="442"/>
        <v>0</v>
      </c>
      <c r="DG182" s="3">
        <f t="shared" si="442"/>
        <v>0</v>
      </c>
      <c r="DH182" s="3">
        <f t="shared" si="442"/>
        <v>0</v>
      </c>
      <c r="DI182" s="3">
        <f t="shared" si="442"/>
        <v>0</v>
      </c>
      <c r="DJ182" s="3">
        <f t="shared" si="442"/>
        <v>0</v>
      </c>
      <c r="DK182" s="3">
        <f t="shared" si="442"/>
        <v>0</v>
      </c>
      <c r="DL182" s="3">
        <f t="shared" si="443"/>
        <v>0</v>
      </c>
      <c r="DM182" s="3">
        <f t="shared" si="443"/>
        <v>0</v>
      </c>
      <c r="DN182" s="3">
        <f t="shared" si="443"/>
        <v>0</v>
      </c>
      <c r="DO182" s="3">
        <f t="shared" si="443"/>
        <v>0</v>
      </c>
      <c r="DP182" s="3">
        <f t="shared" si="443"/>
        <v>0</v>
      </c>
      <c r="DQ182" s="3">
        <f t="shared" si="443"/>
        <v>0</v>
      </c>
      <c r="DR182" s="3">
        <f t="shared" si="443"/>
        <v>0</v>
      </c>
      <c r="DS182" s="3">
        <f t="shared" si="443"/>
        <v>0</v>
      </c>
      <c r="DT182" s="3">
        <f t="shared" si="443"/>
        <v>0</v>
      </c>
      <c r="DU182" s="3">
        <f t="shared" si="443"/>
        <v>0</v>
      </c>
      <c r="DV182" s="3">
        <f t="shared" si="444"/>
        <v>0</v>
      </c>
      <c r="DW182" s="3">
        <f t="shared" si="444"/>
        <v>0</v>
      </c>
      <c r="DX182" s="3">
        <f t="shared" si="444"/>
        <v>0</v>
      </c>
      <c r="DY182" s="3">
        <f t="shared" si="444"/>
        <v>0</v>
      </c>
      <c r="DZ182" s="3">
        <f t="shared" si="444"/>
        <v>0</v>
      </c>
      <c r="EA182" s="3">
        <f t="shared" si="444"/>
        <v>0</v>
      </c>
      <c r="EB182" s="3">
        <f t="shared" si="444"/>
        <v>0</v>
      </c>
      <c r="EC182" s="3">
        <f t="shared" si="444"/>
        <v>0</v>
      </c>
      <c r="ED182" s="3">
        <f t="shared" si="444"/>
        <v>0</v>
      </c>
      <c r="EE182" s="3">
        <f t="shared" si="444"/>
        <v>0</v>
      </c>
      <c r="EF182" s="3">
        <f t="shared" si="445"/>
        <v>0</v>
      </c>
      <c r="EG182" s="3">
        <f t="shared" si="445"/>
        <v>0</v>
      </c>
      <c r="EH182" s="3">
        <f t="shared" si="445"/>
        <v>0</v>
      </c>
      <c r="EI182" s="3">
        <f t="shared" si="445"/>
        <v>0</v>
      </c>
      <c r="EJ182" s="3">
        <f t="shared" si="445"/>
        <v>0</v>
      </c>
      <c r="EK182" s="3">
        <f t="shared" si="445"/>
        <v>0</v>
      </c>
      <c r="EL182" s="3">
        <f t="shared" si="445"/>
        <v>0</v>
      </c>
    </row>
    <row r="183" spans="2:142" x14ac:dyDescent="0.3">
      <c r="B183" s="14"/>
      <c r="C183" s="132"/>
      <c r="D183" s="20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</row>
    <row r="184" spans="2:142" ht="14.4" thickBot="1" x14ac:dyDescent="0.35">
      <c r="B184" s="8" t="s">
        <v>27</v>
      </c>
      <c r="C184" s="8" t="s">
        <v>487</v>
      </c>
      <c r="D184" s="198" t="str">
        <f>IF(Menu!$D$12="PT",'Dados Financeiros'!B184,'Dados Financeiros'!C184)</f>
        <v>Disponibilidades líquidas aplicadas nas atividades de investimentos</v>
      </c>
      <c r="E184" s="7">
        <f t="shared" ref="E184:AJ184" si="446">SUM(E173:E182)</f>
        <v>-13551</v>
      </c>
      <c r="F184" s="7">
        <f t="shared" si="446"/>
        <v>-3232</v>
      </c>
      <c r="G184" s="7">
        <f t="shared" si="446"/>
        <v>-3601</v>
      </c>
      <c r="H184" s="7">
        <f t="shared" si="446"/>
        <v>-31737</v>
      </c>
      <c r="I184" s="7">
        <f t="shared" si="446"/>
        <v>-40461</v>
      </c>
      <c r="J184" s="7">
        <f t="shared" si="446"/>
        <v>-9010</v>
      </c>
      <c r="K184" s="7">
        <f t="shared" si="446"/>
        <v>-3383</v>
      </c>
      <c r="L184" s="7">
        <f t="shared" si="446"/>
        <v>-14972</v>
      </c>
      <c r="M184" s="7">
        <f t="shared" si="446"/>
        <v>-6572</v>
      </c>
      <c r="N184" s="7">
        <f t="shared" si="446"/>
        <v>-38794</v>
      </c>
      <c r="O184" s="7">
        <f t="shared" si="446"/>
        <v>-8151</v>
      </c>
      <c r="P184" s="7">
        <f t="shared" si="446"/>
        <v>-4663</v>
      </c>
      <c r="Q184" s="7">
        <f t="shared" si="446"/>
        <v>10926</v>
      </c>
      <c r="R184" s="7">
        <f t="shared" si="446"/>
        <v>-7062</v>
      </c>
      <c r="S184" s="7">
        <f t="shared" si="446"/>
        <v>-9671</v>
      </c>
      <c r="T184" s="7">
        <f t="shared" si="446"/>
        <v>-24374</v>
      </c>
      <c r="U184" s="7">
        <f t="shared" si="446"/>
        <v>-10070</v>
      </c>
      <c r="V184" s="7">
        <f t="shared" si="446"/>
        <v>-8916</v>
      </c>
      <c r="W184" s="7">
        <f t="shared" si="446"/>
        <v>-13262</v>
      </c>
      <c r="X184" s="7">
        <f t="shared" si="446"/>
        <v>-14371</v>
      </c>
      <c r="Y184" s="7">
        <f t="shared" si="446"/>
        <v>-10477</v>
      </c>
      <c r="Z184" s="7">
        <f t="shared" si="446"/>
        <v>-19547</v>
      </c>
      <c r="AA184" s="7">
        <f t="shared" si="446"/>
        <v>-21014</v>
      </c>
      <c r="AB184" s="7">
        <f t="shared" si="446"/>
        <v>-6458</v>
      </c>
      <c r="AC184" s="7">
        <f t="shared" si="446"/>
        <v>-36266</v>
      </c>
      <c r="AD184" s="7">
        <f t="shared" si="446"/>
        <v>-33715</v>
      </c>
      <c r="AE184" s="7">
        <f t="shared" si="446"/>
        <v>-71263</v>
      </c>
      <c r="AF184" s="7">
        <f t="shared" si="446"/>
        <v>-77017</v>
      </c>
      <c r="AG184" s="7">
        <f t="shared" si="446"/>
        <v>3443</v>
      </c>
      <c r="AH184" s="7">
        <f t="shared" si="446"/>
        <v>14652</v>
      </c>
      <c r="AI184" s="7">
        <f t="shared" si="446"/>
        <v>38603</v>
      </c>
      <c r="AJ184" s="7">
        <f t="shared" si="446"/>
        <v>2840</v>
      </c>
      <c r="AK184" s="7">
        <f t="shared" ref="AK184:BN184" si="447">SUM(AK173:AK182)</f>
        <v>3563</v>
      </c>
      <c r="AL184" s="7">
        <f t="shared" si="447"/>
        <v>1691</v>
      </c>
      <c r="AM184" s="7">
        <f t="shared" si="447"/>
        <v>30396</v>
      </c>
      <c r="AN184" s="7">
        <f t="shared" si="447"/>
        <v>-9620</v>
      </c>
      <c r="AO184" s="7">
        <f t="shared" si="447"/>
        <v>-3662</v>
      </c>
      <c r="AP184" s="7">
        <f t="shared" si="447"/>
        <v>-34344</v>
      </c>
      <c r="AQ184" s="7">
        <f t="shared" si="447"/>
        <v>-64653</v>
      </c>
      <c r="AR184" s="7">
        <f t="shared" si="447"/>
        <v>168539</v>
      </c>
      <c r="AS184" s="7">
        <f t="shared" si="447"/>
        <v>1450</v>
      </c>
      <c r="AT184" s="7">
        <f t="shared" si="447"/>
        <v>9896</v>
      </c>
      <c r="AU184" s="7">
        <f t="shared" si="447"/>
        <v>35269</v>
      </c>
      <c r="AV184" s="7">
        <f t="shared" si="447"/>
        <v>-54409</v>
      </c>
      <c r="AW184" s="7">
        <f t="shared" si="447"/>
        <v>95811</v>
      </c>
      <c r="AX184" s="7">
        <f t="shared" si="447"/>
        <v>-43573</v>
      </c>
      <c r="AY184" s="7">
        <f t="shared" si="447"/>
        <v>36438</v>
      </c>
      <c r="AZ184" s="7">
        <f t="shared" si="447"/>
        <v>-22124</v>
      </c>
      <c r="BA184" s="7">
        <f t="shared" si="447"/>
        <v>10088</v>
      </c>
      <c r="BB184" s="7">
        <f t="shared" si="447"/>
        <v>-44215</v>
      </c>
      <c r="BC184" s="7">
        <f t="shared" si="447"/>
        <v>16652</v>
      </c>
      <c r="BD184" s="7">
        <f t="shared" si="447"/>
        <v>25788</v>
      </c>
      <c r="BE184" s="7">
        <f t="shared" si="447"/>
        <v>-28142</v>
      </c>
      <c r="BF184" s="7">
        <f t="shared" si="447"/>
        <v>16588</v>
      </c>
      <c r="BG184" s="7">
        <f t="shared" si="447"/>
        <v>-80202</v>
      </c>
      <c r="BH184" s="7">
        <f t="shared" si="447"/>
        <v>37506</v>
      </c>
      <c r="BI184" s="7">
        <f t="shared" si="447"/>
        <v>62962</v>
      </c>
      <c r="BJ184" s="7">
        <f t="shared" si="447"/>
        <v>-1687</v>
      </c>
      <c r="BK184" s="7">
        <f t="shared" si="447"/>
        <v>-69654</v>
      </c>
      <c r="BL184" s="7">
        <f t="shared" si="447"/>
        <v>-72230</v>
      </c>
      <c r="BM184" s="7">
        <f t="shared" si="447"/>
        <v>9846</v>
      </c>
      <c r="BN184" s="7">
        <f t="shared" si="447"/>
        <v>141465</v>
      </c>
      <c r="BO184" s="7">
        <v>-12642</v>
      </c>
      <c r="BP184" s="7">
        <f t="shared" ref="BP184:BX184" si="448">SUM(BP173:BP182)</f>
        <v>31804</v>
      </c>
      <c r="BQ184" s="7">
        <f t="shared" si="448"/>
        <v>31155</v>
      </c>
      <c r="BR184" s="7">
        <f t="shared" si="448"/>
        <v>-3542</v>
      </c>
      <c r="BS184" s="7">
        <f t="shared" si="448"/>
        <v>27170</v>
      </c>
      <c r="BT184" s="7">
        <f t="shared" si="448"/>
        <v>-55559</v>
      </c>
      <c r="BU184" s="7">
        <f t="shared" si="448"/>
        <v>61604</v>
      </c>
      <c r="BV184" s="7">
        <f t="shared" si="448"/>
        <v>2138</v>
      </c>
      <c r="BW184" s="7">
        <f t="shared" si="448"/>
        <v>-6035</v>
      </c>
      <c r="BX184" s="7">
        <f t="shared" si="448"/>
        <v>7232</v>
      </c>
      <c r="BY184" s="7">
        <f t="shared" ref="BY184:CD184" si="449">SUM(BY173:BY182)</f>
        <v>42975</v>
      </c>
      <c r="BZ184" s="7">
        <f t="shared" si="449"/>
        <v>-52914</v>
      </c>
      <c r="CA184" s="7">
        <f t="shared" si="449"/>
        <v>-6554</v>
      </c>
      <c r="CB184" s="7">
        <f t="shared" si="449"/>
        <v>7870</v>
      </c>
      <c r="CC184" s="7">
        <f t="shared" si="449"/>
        <v>20178</v>
      </c>
      <c r="CD184" s="7">
        <f t="shared" si="449"/>
        <v>7977</v>
      </c>
      <c r="CE184" s="7">
        <f t="shared" ref="CE184:CF184" si="450">SUM(CE173:CE182)</f>
        <v>2448</v>
      </c>
      <c r="CF184" s="7">
        <f t="shared" si="450"/>
        <v>1041</v>
      </c>
      <c r="CH184" s="7">
        <f t="shared" ref="CH184:DU184" si="451">SUM(CH173:CH182)</f>
        <v>-16783</v>
      </c>
      <c r="CI184" s="7">
        <f t="shared" si="451"/>
        <v>-20384</v>
      </c>
      <c r="CJ184" s="7">
        <f t="shared" si="451"/>
        <v>-52121</v>
      </c>
      <c r="CK184" s="7">
        <f t="shared" si="451"/>
        <v>-49471</v>
      </c>
      <c r="CL184" s="7">
        <f t="shared" si="451"/>
        <v>-52854</v>
      </c>
      <c r="CM184" s="7">
        <f t="shared" si="451"/>
        <v>-67826</v>
      </c>
      <c r="CN184" s="7">
        <f t="shared" si="451"/>
        <v>-45366</v>
      </c>
      <c r="CO184" s="7">
        <f t="shared" si="451"/>
        <v>-53517</v>
      </c>
      <c r="CP184" s="7">
        <f t="shared" si="451"/>
        <v>-58180</v>
      </c>
      <c r="CQ184" s="7">
        <f t="shared" si="451"/>
        <v>3864</v>
      </c>
      <c r="CR184" s="7">
        <f t="shared" si="451"/>
        <v>-5807</v>
      </c>
      <c r="CS184" s="7">
        <f t="shared" si="451"/>
        <v>-30181</v>
      </c>
      <c r="CT184" s="7">
        <f t="shared" si="451"/>
        <v>-18986</v>
      </c>
      <c r="CU184" s="7">
        <f t="shared" si="451"/>
        <v>-32248</v>
      </c>
      <c r="CV184" s="7">
        <f t="shared" si="451"/>
        <v>-46619</v>
      </c>
      <c r="CW184" s="7">
        <f t="shared" si="451"/>
        <v>-26005</v>
      </c>
      <c r="CX184" s="7">
        <f t="shared" si="451"/>
        <v>-59720</v>
      </c>
      <c r="CY184" s="7">
        <f t="shared" si="451"/>
        <v>-136737</v>
      </c>
      <c r="CZ184" s="7">
        <f t="shared" si="451"/>
        <v>18095</v>
      </c>
      <c r="DA184" s="7">
        <f t="shared" si="451"/>
        <v>56698</v>
      </c>
      <c r="DB184" s="7">
        <f t="shared" si="451"/>
        <v>59538</v>
      </c>
      <c r="DC184" s="7">
        <f t="shared" si="451"/>
        <v>5254</v>
      </c>
      <c r="DD184" s="7">
        <f t="shared" si="451"/>
        <v>35650</v>
      </c>
      <c r="DE184" s="7">
        <f t="shared" si="451"/>
        <v>26030</v>
      </c>
      <c r="DF184" s="7">
        <f t="shared" si="451"/>
        <v>-38006</v>
      </c>
      <c r="DG184" s="7">
        <f t="shared" si="451"/>
        <v>-102659</v>
      </c>
      <c r="DH184" s="7">
        <f t="shared" si="451"/>
        <v>65880</v>
      </c>
      <c r="DI184" s="7">
        <f t="shared" si="451"/>
        <v>11346</v>
      </c>
      <c r="DJ184" s="7">
        <f t="shared" si="451"/>
        <v>46615</v>
      </c>
      <c r="DK184" s="7">
        <f t="shared" si="451"/>
        <v>-7794</v>
      </c>
      <c r="DL184" s="7">
        <f t="shared" si="451"/>
        <v>52238</v>
      </c>
      <c r="DM184" s="7">
        <f t="shared" si="451"/>
        <v>88676</v>
      </c>
      <c r="DN184" s="7">
        <f t="shared" si="451"/>
        <v>66552</v>
      </c>
      <c r="DO184" s="7">
        <f t="shared" si="451"/>
        <v>-34127</v>
      </c>
      <c r="DP184" s="7">
        <f t="shared" si="451"/>
        <v>-17475</v>
      </c>
      <c r="DQ184" s="7">
        <f t="shared" si="451"/>
        <v>8313</v>
      </c>
      <c r="DR184" s="7">
        <f t="shared" si="451"/>
        <v>-11554</v>
      </c>
      <c r="DS184" s="7">
        <f t="shared" si="451"/>
        <v>-91756</v>
      </c>
      <c r="DT184" s="7">
        <f t="shared" si="451"/>
        <v>-54250</v>
      </c>
      <c r="DU184" s="7">
        <f t="shared" si="451"/>
        <v>61275</v>
      </c>
      <c r="DV184" s="7">
        <f t="shared" ref="DV184:DX184" si="452">SUM(DV173:DV182)</f>
        <v>-8379</v>
      </c>
      <c r="DW184" s="7">
        <f t="shared" si="452"/>
        <v>-80609</v>
      </c>
      <c r="DX184" s="7">
        <f t="shared" si="452"/>
        <v>151311</v>
      </c>
      <c r="DY184" s="7">
        <f t="shared" ref="DY184:EB184" si="453">SUM(DY173:DY182)</f>
        <v>138669</v>
      </c>
      <c r="DZ184" s="7">
        <f t="shared" si="453"/>
        <v>170473</v>
      </c>
      <c r="EA184" s="7">
        <f t="shared" si="453"/>
        <v>27613</v>
      </c>
      <c r="EB184" s="7">
        <f t="shared" si="453"/>
        <v>54783</v>
      </c>
      <c r="EC184" s="7">
        <f t="shared" ref="EC184:EF184" si="454">SUM(EC173:EC182)</f>
        <v>-776</v>
      </c>
      <c r="ED184" s="7">
        <f t="shared" si="454"/>
        <v>63742</v>
      </c>
      <c r="EE184" s="7">
        <f t="shared" si="454"/>
        <v>57707</v>
      </c>
      <c r="EF184" s="7">
        <f t="shared" si="454"/>
        <v>64939</v>
      </c>
      <c r="EG184" s="7">
        <f t="shared" ref="EG184:EH184" si="455">SUM(EG173:EG182)</f>
        <v>-9939</v>
      </c>
      <c r="EH184" s="7">
        <f t="shared" si="455"/>
        <v>-16493</v>
      </c>
      <c r="EI184" s="7">
        <f t="shared" ref="EI184:EK184" si="456">SUM(EI173:EI182)</f>
        <v>-8623</v>
      </c>
      <c r="EJ184" s="7">
        <f t="shared" si="456"/>
        <v>28155</v>
      </c>
      <c r="EK184" s="7">
        <f t="shared" si="456"/>
        <v>30603</v>
      </c>
      <c r="EL184" s="7">
        <f t="shared" ref="EL184" si="457">SUM(EL173:EL182)</f>
        <v>31644</v>
      </c>
    </row>
    <row r="185" spans="2:142" x14ac:dyDescent="0.3">
      <c r="B185" s="12"/>
      <c r="C185" s="12"/>
      <c r="D185" s="185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</row>
    <row r="186" spans="2:142" ht="14.4" thickBot="1" x14ac:dyDescent="0.35">
      <c r="B186" s="8" t="s">
        <v>26</v>
      </c>
      <c r="C186" s="8" t="s">
        <v>488</v>
      </c>
      <c r="D186" s="198" t="str">
        <f>IF(Menu!$D$12="PT",'Dados Financeiros'!B186,'Dados Financeiros'!C186)</f>
        <v>Fluxo de caixa das atividades de financiamentos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</row>
    <row r="187" spans="2:142" x14ac:dyDescent="0.3">
      <c r="B187" s="17"/>
      <c r="C187" s="17"/>
      <c r="D187" s="204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</row>
    <row r="188" spans="2:142" x14ac:dyDescent="0.3">
      <c r="B188" s="129" t="s">
        <v>615</v>
      </c>
      <c r="C188" s="129" t="s">
        <v>489</v>
      </c>
      <c r="D188" s="183" t="str">
        <f>IF(Menu!$D$12="PT",'Dados Financeiros'!B188,'Dados Financeiros'!C188)</f>
        <v>Aumento do capital social, líquido dos gastos com emissão de ações - FCX</v>
      </c>
      <c r="E188" s="4">
        <v>590652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382271</v>
      </c>
      <c r="V188" s="4">
        <v>-70</v>
      </c>
      <c r="W188" s="4">
        <v>-1133</v>
      </c>
      <c r="X188" s="4">
        <v>5618</v>
      </c>
      <c r="Y188" s="4">
        <v>-34</v>
      </c>
      <c r="Z188" s="4">
        <v>-34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195102</v>
      </c>
      <c r="AV188" s="4">
        <v>-1311</v>
      </c>
      <c r="AW188" s="4">
        <v>59165</v>
      </c>
      <c r="AX188" s="4">
        <v>89534</v>
      </c>
      <c r="AY188" s="4">
        <v>38</v>
      </c>
      <c r="AZ188" s="4">
        <v>0</v>
      </c>
      <c r="BA188" s="9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4">
        <v>426669</v>
      </c>
      <c r="BH188" s="4">
        <v>-194</v>
      </c>
      <c r="BI188" s="4">
        <v>0</v>
      </c>
      <c r="BJ188" s="4">
        <v>0</v>
      </c>
      <c r="BK188" s="4">
        <v>0</v>
      </c>
      <c r="BL188" s="4">
        <v>0</v>
      </c>
      <c r="BM188" s="4">
        <v>0</v>
      </c>
      <c r="BN188" s="4">
        <v>0</v>
      </c>
      <c r="BO188" s="4">
        <v>0</v>
      </c>
      <c r="BP188" s="4">
        <v>0</v>
      </c>
      <c r="BQ188" s="4">
        <v>0</v>
      </c>
      <c r="BR188" s="4">
        <v>0</v>
      </c>
      <c r="BS188" s="4">
        <v>0</v>
      </c>
      <c r="BT188" s="4">
        <v>0</v>
      </c>
      <c r="BU188" s="4">
        <v>0</v>
      </c>
      <c r="BV188" s="4">
        <v>0</v>
      </c>
      <c r="BW188" s="4">
        <v>0</v>
      </c>
      <c r="BX188" s="4">
        <v>0</v>
      </c>
      <c r="BY188" s="4">
        <v>0</v>
      </c>
      <c r="BZ188" s="4">
        <v>0</v>
      </c>
      <c r="CA188" s="4">
        <v>0</v>
      </c>
      <c r="CB188" s="4">
        <v>0</v>
      </c>
      <c r="CC188" s="4">
        <v>0</v>
      </c>
      <c r="CD188" s="4">
        <v>0</v>
      </c>
      <c r="CE188" s="4">
        <v>0</v>
      </c>
      <c r="CF188" s="4">
        <v>0</v>
      </c>
      <c r="CH188" s="94">
        <f t="shared" ref="CH188:CQ196" si="458">SUMIF($B$1:$CG$1,"&lt;="&amp;VALUE(RIGHT(CH$2,2)&amp;IF(LEFT(CH$2,2)="1S",2,IF(LEFT(CH$2,2)="9M",3,4))),$B188:$CG188)-
SUMIF($B$1:$CG$1,"&lt;"&amp;VALUE(RIGHT(CH$2,2))&amp;"0",$B188:$CG188)</f>
        <v>590652</v>
      </c>
      <c r="CI188" s="94">
        <f t="shared" si="458"/>
        <v>590652</v>
      </c>
      <c r="CJ188" s="94">
        <f t="shared" si="458"/>
        <v>590652</v>
      </c>
      <c r="CK188" s="94">
        <f t="shared" si="458"/>
        <v>0</v>
      </c>
      <c r="CL188" s="94">
        <f t="shared" si="458"/>
        <v>0</v>
      </c>
      <c r="CM188" s="94">
        <f t="shared" si="458"/>
        <v>0</v>
      </c>
      <c r="CN188" s="94">
        <f t="shared" si="458"/>
        <v>0</v>
      </c>
      <c r="CO188" s="94">
        <f t="shared" si="458"/>
        <v>0</v>
      </c>
      <c r="CP188" s="94">
        <f t="shared" si="458"/>
        <v>0</v>
      </c>
      <c r="CQ188" s="94">
        <f t="shared" si="458"/>
        <v>0</v>
      </c>
      <c r="CR188" s="94">
        <f t="shared" ref="CR188:DA196" si="459">SUMIF($B$1:$CG$1,"&lt;="&amp;VALUE(RIGHT(CR$2,2)&amp;IF(LEFT(CR$2,2)="1S",2,IF(LEFT(CR$2,2)="9M",3,4))),$B188:$CG188)-
SUMIF($B$1:$CG$1,"&lt;"&amp;VALUE(RIGHT(CR$2,2))&amp;"0",$B188:$CG188)</f>
        <v>0</v>
      </c>
      <c r="CS188" s="94">
        <f t="shared" si="459"/>
        <v>0</v>
      </c>
      <c r="CT188" s="94">
        <f t="shared" si="459"/>
        <v>382201</v>
      </c>
      <c r="CU188" s="94">
        <f t="shared" si="459"/>
        <v>381068</v>
      </c>
      <c r="CV188" s="94">
        <f t="shared" si="459"/>
        <v>386686</v>
      </c>
      <c r="CW188" s="94">
        <f t="shared" si="459"/>
        <v>-34</v>
      </c>
      <c r="CX188" s="94">
        <f t="shared" si="459"/>
        <v>-34</v>
      </c>
      <c r="CY188" s="94">
        <f t="shared" si="459"/>
        <v>-34</v>
      </c>
      <c r="CZ188" s="94">
        <f t="shared" si="459"/>
        <v>0</v>
      </c>
      <c r="DA188" s="94">
        <f t="shared" si="459"/>
        <v>0</v>
      </c>
      <c r="DB188" s="94">
        <f t="shared" ref="DB188:DK196" si="460">SUMIF($B$1:$CG$1,"&lt;="&amp;VALUE(RIGHT(DB$2,2)&amp;IF(LEFT(DB$2,2)="1S",2,IF(LEFT(DB$2,2)="9M",3,4))),$B188:$CG188)-
SUMIF($B$1:$CG$1,"&lt;"&amp;VALUE(RIGHT(DB$2,2))&amp;"0",$B188:$CG188)</f>
        <v>0</v>
      </c>
      <c r="DC188" s="94">
        <f t="shared" si="460"/>
        <v>0</v>
      </c>
      <c r="DD188" s="94">
        <f t="shared" si="460"/>
        <v>0</v>
      </c>
      <c r="DE188" s="94">
        <f t="shared" si="460"/>
        <v>0</v>
      </c>
      <c r="DF188" s="94">
        <f t="shared" si="460"/>
        <v>0</v>
      </c>
      <c r="DG188" s="94">
        <f t="shared" si="460"/>
        <v>0</v>
      </c>
      <c r="DH188" s="94">
        <f t="shared" si="460"/>
        <v>0</v>
      </c>
      <c r="DI188" s="94">
        <f t="shared" si="460"/>
        <v>0</v>
      </c>
      <c r="DJ188" s="94">
        <f t="shared" si="460"/>
        <v>195102</v>
      </c>
      <c r="DK188" s="94">
        <f t="shared" si="460"/>
        <v>193791</v>
      </c>
      <c r="DL188" s="94">
        <f t="shared" ref="DL188:DU196" si="461">SUMIF($B$1:$CG$1,"&lt;="&amp;VALUE(RIGHT(DL$2,2)&amp;IF(LEFT(DL$2,2)="1S",2,IF(LEFT(DL$2,2)="9M",3,4))),$B188:$CG188)-
SUMIF($B$1:$CG$1,"&lt;"&amp;VALUE(RIGHT(DL$2,2))&amp;"0",$B188:$CG188)</f>
        <v>148699</v>
      </c>
      <c r="DM188" s="94">
        <f t="shared" si="461"/>
        <v>148737</v>
      </c>
      <c r="DN188" s="94">
        <f t="shared" si="461"/>
        <v>148737</v>
      </c>
      <c r="DO188" s="94">
        <f t="shared" si="461"/>
        <v>0</v>
      </c>
      <c r="DP188" s="94">
        <f t="shared" si="461"/>
        <v>0</v>
      </c>
      <c r="DQ188" s="94">
        <f t="shared" si="461"/>
        <v>0</v>
      </c>
      <c r="DR188" s="94">
        <f t="shared" si="461"/>
        <v>0</v>
      </c>
      <c r="DS188" s="94">
        <f t="shared" si="461"/>
        <v>426669</v>
      </c>
      <c r="DT188" s="94">
        <f t="shared" si="461"/>
        <v>426475</v>
      </c>
      <c r="DU188" s="94">
        <f t="shared" si="461"/>
        <v>0</v>
      </c>
      <c r="DV188" s="94">
        <f t="shared" ref="DV188:EE196" si="462">SUMIF($B$1:$CG$1,"&lt;="&amp;VALUE(RIGHT(DV$2,2)&amp;IF(LEFT(DV$2,2)="1S",2,IF(LEFT(DV$2,2)="9M",3,4))),$B188:$CG188)-
SUMIF($B$1:$CG$1,"&lt;"&amp;VALUE(RIGHT(DV$2,2))&amp;"0",$B188:$CG188)</f>
        <v>0</v>
      </c>
      <c r="DW188" s="94">
        <f t="shared" si="462"/>
        <v>0</v>
      </c>
      <c r="DX188" s="94">
        <f t="shared" si="462"/>
        <v>0</v>
      </c>
      <c r="DY188" s="94">
        <f t="shared" si="462"/>
        <v>0</v>
      </c>
      <c r="DZ188" s="94">
        <f t="shared" si="462"/>
        <v>0</v>
      </c>
      <c r="EA188" s="94">
        <f t="shared" si="462"/>
        <v>0</v>
      </c>
      <c r="EB188" s="94">
        <f t="shared" si="462"/>
        <v>0</v>
      </c>
      <c r="EC188" s="94">
        <f t="shared" si="462"/>
        <v>0</v>
      </c>
      <c r="ED188" s="94">
        <f t="shared" si="462"/>
        <v>0</v>
      </c>
      <c r="EE188" s="94">
        <f t="shared" si="462"/>
        <v>0</v>
      </c>
      <c r="EF188" s="94">
        <f t="shared" ref="EF188:EL196" si="463">SUMIF($B$1:$CG$1,"&lt;="&amp;VALUE(RIGHT(EF$2,2)&amp;IF(LEFT(EF$2,2)="1S",2,IF(LEFT(EF$2,2)="9M",3,4))),$B188:$CG188)-
SUMIF($B$1:$CG$1,"&lt;"&amp;VALUE(RIGHT(EF$2,2))&amp;"0",$B188:$CG188)</f>
        <v>0</v>
      </c>
      <c r="EG188" s="94">
        <f t="shared" si="463"/>
        <v>0</v>
      </c>
      <c r="EH188" s="94">
        <f t="shared" si="463"/>
        <v>0</v>
      </c>
      <c r="EI188" s="94">
        <f t="shared" si="463"/>
        <v>0</v>
      </c>
      <c r="EJ188" s="94">
        <f t="shared" si="463"/>
        <v>0</v>
      </c>
      <c r="EK188" s="94">
        <f t="shared" si="463"/>
        <v>0</v>
      </c>
      <c r="EL188" s="94">
        <f t="shared" si="463"/>
        <v>0</v>
      </c>
    </row>
    <row r="189" spans="2:142" x14ac:dyDescent="0.3">
      <c r="B189" s="129" t="s">
        <v>616</v>
      </c>
      <c r="C189" s="129" t="s">
        <v>490</v>
      </c>
      <c r="D189" s="183" t="str">
        <f>IF(Menu!$D$12="PT",'Dados Financeiros'!B189,'Dados Financeiros'!C189)</f>
        <v>Distribuição de dividendos - FCX</v>
      </c>
      <c r="E189" s="4">
        <v>0</v>
      </c>
      <c r="F189" s="4">
        <v>-2301</v>
      </c>
      <c r="G189" s="4">
        <v>0</v>
      </c>
      <c r="H189" s="4">
        <v>0</v>
      </c>
      <c r="I189" s="4">
        <v>0</v>
      </c>
      <c r="J189" s="4">
        <v>-7721</v>
      </c>
      <c r="K189" s="4">
        <v>0</v>
      </c>
      <c r="L189" s="4">
        <v>0</v>
      </c>
      <c r="M189" s="4">
        <v>0</v>
      </c>
      <c r="N189" s="4">
        <v>-17878</v>
      </c>
      <c r="O189" s="4">
        <v>0</v>
      </c>
      <c r="P189" s="4">
        <v>0</v>
      </c>
      <c r="Q189" s="4">
        <v>0</v>
      </c>
      <c r="R189" s="4">
        <v>-26252</v>
      </c>
      <c r="S189" s="4">
        <v>0</v>
      </c>
      <c r="T189" s="4">
        <v>0</v>
      </c>
      <c r="U189" s="4">
        <v>0</v>
      </c>
      <c r="V189" s="4">
        <v>-47512</v>
      </c>
      <c r="W189" s="4">
        <v>0</v>
      </c>
      <c r="X189" s="4">
        <v>0</v>
      </c>
      <c r="Y189" s="4">
        <v>0</v>
      </c>
      <c r="Z189" s="4">
        <v>0</v>
      </c>
      <c r="AA189" s="4">
        <v>-54876</v>
      </c>
      <c r="AB189" s="4">
        <v>-54876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f>0-AH189-AG189</f>
        <v>0</v>
      </c>
      <c r="AJ189" s="4">
        <v>0</v>
      </c>
      <c r="AK189" s="4">
        <v>0</v>
      </c>
      <c r="AL189" s="4">
        <v>-84035</v>
      </c>
      <c r="AM189" s="4">
        <v>0</v>
      </c>
      <c r="AN189" s="4">
        <v>0</v>
      </c>
      <c r="AO189" s="4">
        <v>0</v>
      </c>
      <c r="AP189" s="4">
        <v>0</v>
      </c>
      <c r="AQ189" s="4">
        <v>-36896</v>
      </c>
      <c r="AR189" s="4">
        <v>0</v>
      </c>
      <c r="AS189" s="4">
        <v>0</v>
      </c>
      <c r="AT189" s="4">
        <v>0</v>
      </c>
      <c r="AU189" s="4">
        <v>-3852</v>
      </c>
      <c r="AV189" s="4">
        <v>-24695</v>
      </c>
      <c r="AW189" s="4">
        <v>0</v>
      </c>
      <c r="AX189" s="4">
        <v>0</v>
      </c>
      <c r="AY189" s="4">
        <v>0</v>
      </c>
      <c r="AZ189" s="4">
        <v>0</v>
      </c>
      <c r="BA189" s="9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4">
        <v>0</v>
      </c>
      <c r="BH189" s="4">
        <v>0</v>
      </c>
      <c r="BI189" s="4">
        <v>0</v>
      </c>
      <c r="BJ189" s="4">
        <v>0</v>
      </c>
      <c r="BK189" s="4">
        <v>0</v>
      </c>
      <c r="BL189" s="4">
        <v>0</v>
      </c>
      <c r="BM189" s="4">
        <v>0</v>
      </c>
      <c r="BN189" s="4">
        <v>0</v>
      </c>
      <c r="BO189" s="4">
        <v>0</v>
      </c>
      <c r="BP189" s="4">
        <v>0</v>
      </c>
      <c r="BQ189" s="4">
        <v>0</v>
      </c>
      <c r="BR189" s="4">
        <v>0</v>
      </c>
      <c r="BS189" s="4">
        <v>0</v>
      </c>
      <c r="BT189" s="4">
        <v>0</v>
      </c>
      <c r="BU189" s="4">
        <v>0</v>
      </c>
      <c r="BV189" s="4">
        <v>0</v>
      </c>
      <c r="BW189" s="4">
        <v>0</v>
      </c>
      <c r="BX189" s="4">
        <v>0</v>
      </c>
      <c r="BY189" s="4">
        <v>0</v>
      </c>
      <c r="BZ189" s="4">
        <v>0</v>
      </c>
      <c r="CA189" s="4">
        <v>0</v>
      </c>
      <c r="CB189" s="4">
        <v>0</v>
      </c>
      <c r="CC189" s="4">
        <v>0</v>
      </c>
      <c r="CD189" s="4">
        <v>0</v>
      </c>
      <c r="CE189" s="4">
        <v>0</v>
      </c>
      <c r="CF189" s="4">
        <v>0</v>
      </c>
      <c r="CH189" s="94">
        <f t="shared" si="458"/>
        <v>-2301</v>
      </c>
      <c r="CI189" s="94">
        <f t="shared" si="458"/>
        <v>-2301</v>
      </c>
      <c r="CJ189" s="94">
        <f t="shared" si="458"/>
        <v>-2301</v>
      </c>
      <c r="CK189" s="94">
        <f t="shared" si="458"/>
        <v>-7721</v>
      </c>
      <c r="CL189" s="94">
        <f t="shared" si="458"/>
        <v>-7721</v>
      </c>
      <c r="CM189" s="94">
        <f t="shared" si="458"/>
        <v>-7721</v>
      </c>
      <c r="CN189" s="94">
        <f t="shared" si="458"/>
        <v>-17878</v>
      </c>
      <c r="CO189" s="94">
        <f t="shared" si="458"/>
        <v>-17878</v>
      </c>
      <c r="CP189" s="94">
        <f t="shared" si="458"/>
        <v>-17878</v>
      </c>
      <c r="CQ189" s="94">
        <f t="shared" si="458"/>
        <v>-26252</v>
      </c>
      <c r="CR189" s="94">
        <f t="shared" si="459"/>
        <v>-26252</v>
      </c>
      <c r="CS189" s="94">
        <f t="shared" si="459"/>
        <v>-26252</v>
      </c>
      <c r="CT189" s="94">
        <f t="shared" si="459"/>
        <v>-47512</v>
      </c>
      <c r="CU189" s="94">
        <f t="shared" si="459"/>
        <v>-47512</v>
      </c>
      <c r="CV189" s="94">
        <f t="shared" si="459"/>
        <v>-47512</v>
      </c>
      <c r="CW189" s="94">
        <f t="shared" si="459"/>
        <v>-54876</v>
      </c>
      <c r="CX189" s="94">
        <f t="shared" si="459"/>
        <v>-54876</v>
      </c>
      <c r="CY189" s="94">
        <f t="shared" si="459"/>
        <v>-54876</v>
      </c>
      <c r="CZ189" s="94">
        <f t="shared" si="459"/>
        <v>0</v>
      </c>
      <c r="DA189" s="94">
        <f t="shared" si="459"/>
        <v>0</v>
      </c>
      <c r="DB189" s="94">
        <f t="shared" si="460"/>
        <v>0</v>
      </c>
      <c r="DC189" s="94">
        <f t="shared" si="460"/>
        <v>-84035</v>
      </c>
      <c r="DD189" s="94">
        <f t="shared" si="460"/>
        <v>-84035</v>
      </c>
      <c r="DE189" s="94">
        <f t="shared" si="460"/>
        <v>-84035</v>
      </c>
      <c r="DF189" s="94">
        <f t="shared" si="460"/>
        <v>0</v>
      </c>
      <c r="DG189" s="94">
        <f t="shared" si="460"/>
        <v>-36896</v>
      </c>
      <c r="DH189" s="94">
        <f t="shared" si="460"/>
        <v>-36896</v>
      </c>
      <c r="DI189" s="94">
        <f t="shared" si="460"/>
        <v>0</v>
      </c>
      <c r="DJ189" s="94">
        <f t="shared" si="460"/>
        <v>-3852</v>
      </c>
      <c r="DK189" s="94">
        <f t="shared" si="460"/>
        <v>-28547</v>
      </c>
      <c r="DL189" s="94">
        <f t="shared" si="461"/>
        <v>0</v>
      </c>
      <c r="DM189" s="94">
        <f t="shared" si="461"/>
        <v>0</v>
      </c>
      <c r="DN189" s="94">
        <f t="shared" si="461"/>
        <v>0</v>
      </c>
      <c r="DO189" s="94">
        <f t="shared" si="461"/>
        <v>0</v>
      </c>
      <c r="DP189" s="94">
        <f t="shared" si="461"/>
        <v>0</v>
      </c>
      <c r="DQ189" s="94">
        <f t="shared" si="461"/>
        <v>0</v>
      </c>
      <c r="DR189" s="94">
        <f t="shared" si="461"/>
        <v>0</v>
      </c>
      <c r="DS189" s="94">
        <f t="shared" si="461"/>
        <v>0</v>
      </c>
      <c r="DT189" s="94">
        <f t="shared" si="461"/>
        <v>0</v>
      </c>
      <c r="DU189" s="94">
        <f t="shared" si="461"/>
        <v>0</v>
      </c>
      <c r="DV189" s="94">
        <f t="shared" si="462"/>
        <v>0</v>
      </c>
      <c r="DW189" s="94">
        <f t="shared" si="462"/>
        <v>0</v>
      </c>
      <c r="DX189" s="94">
        <f t="shared" si="462"/>
        <v>0</v>
      </c>
      <c r="DY189" s="94">
        <f t="shared" si="462"/>
        <v>0</v>
      </c>
      <c r="DZ189" s="94">
        <f t="shared" si="462"/>
        <v>0</v>
      </c>
      <c r="EA189" s="94">
        <f t="shared" si="462"/>
        <v>0</v>
      </c>
      <c r="EB189" s="94">
        <f t="shared" si="462"/>
        <v>0</v>
      </c>
      <c r="EC189" s="94">
        <f t="shared" si="462"/>
        <v>0</v>
      </c>
      <c r="ED189" s="94">
        <f t="shared" si="462"/>
        <v>0</v>
      </c>
      <c r="EE189" s="94">
        <f t="shared" si="462"/>
        <v>0</v>
      </c>
      <c r="EF189" s="94">
        <f t="shared" si="463"/>
        <v>0</v>
      </c>
      <c r="EG189" s="94">
        <f t="shared" si="463"/>
        <v>0</v>
      </c>
      <c r="EH189" s="94">
        <f t="shared" si="463"/>
        <v>0</v>
      </c>
      <c r="EI189" s="94">
        <f t="shared" si="463"/>
        <v>0</v>
      </c>
      <c r="EJ189" s="94">
        <f t="shared" si="463"/>
        <v>0</v>
      </c>
      <c r="EK189" s="94">
        <f t="shared" si="463"/>
        <v>0</v>
      </c>
      <c r="EL189" s="94">
        <f t="shared" si="463"/>
        <v>0</v>
      </c>
    </row>
    <row r="190" spans="2:142" x14ac:dyDescent="0.3">
      <c r="B190" s="129" t="s">
        <v>617</v>
      </c>
      <c r="C190" s="129" t="s">
        <v>491</v>
      </c>
      <c r="D190" s="183" t="str">
        <f>IF(Menu!$D$12="PT",'Dados Financeiros'!B190,'Dados Financeiros'!C190)</f>
        <v>Ações em tesouraria adquiridas - FCX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-1149</v>
      </c>
      <c r="P190" s="4">
        <v>348</v>
      </c>
      <c r="Q190" s="4">
        <v>-638</v>
      </c>
      <c r="R190" s="4">
        <v>0</v>
      </c>
      <c r="S190" s="4">
        <v>0</v>
      </c>
      <c r="T190" s="4">
        <v>0</v>
      </c>
      <c r="U190" s="4">
        <v>-3388</v>
      </c>
      <c r="V190" s="4">
        <v>-3019</v>
      </c>
      <c r="W190" s="4">
        <v>0</v>
      </c>
      <c r="X190" s="4">
        <v>-27823</v>
      </c>
      <c r="Y190" s="4">
        <v>-2854</v>
      </c>
      <c r="Z190" s="4">
        <v>-2854</v>
      </c>
      <c r="AA190" s="4">
        <v>-1018</v>
      </c>
      <c r="AB190" s="4">
        <v>-1018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-10022</v>
      </c>
      <c r="AJ190" s="4">
        <v>0</v>
      </c>
      <c r="AK190" s="4">
        <v>-14815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-9803</v>
      </c>
      <c r="AS190" s="4">
        <v>-5119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9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0</v>
      </c>
      <c r="BK190" s="4">
        <v>0</v>
      </c>
      <c r="BL190" s="4">
        <v>0</v>
      </c>
      <c r="BM190" s="4">
        <v>0</v>
      </c>
      <c r="BN190" s="4">
        <v>0</v>
      </c>
      <c r="BO190" s="4">
        <v>0</v>
      </c>
      <c r="BP190" s="4">
        <v>0</v>
      </c>
      <c r="BQ190" s="4">
        <v>0</v>
      </c>
      <c r="BR190" s="4">
        <v>0</v>
      </c>
      <c r="BS190" s="4">
        <v>0</v>
      </c>
      <c r="BT190" s="4">
        <v>0</v>
      </c>
      <c r="BU190" s="4">
        <v>0</v>
      </c>
      <c r="BV190" s="4">
        <v>0</v>
      </c>
      <c r="BW190" s="4">
        <v>0</v>
      </c>
      <c r="BX190" s="4">
        <v>0</v>
      </c>
      <c r="BY190" s="4">
        <v>0</v>
      </c>
      <c r="BZ190" s="4">
        <v>0</v>
      </c>
      <c r="CA190" s="4">
        <v>0</v>
      </c>
      <c r="CB190" s="4">
        <v>0</v>
      </c>
      <c r="CC190" s="4">
        <v>0</v>
      </c>
      <c r="CD190" s="4">
        <v>0</v>
      </c>
      <c r="CE190" s="4">
        <v>0</v>
      </c>
      <c r="CF190" s="4">
        <v>0</v>
      </c>
      <c r="CH190" s="94">
        <f t="shared" si="458"/>
        <v>0</v>
      </c>
      <c r="CI190" s="94">
        <f t="shared" si="458"/>
        <v>0</v>
      </c>
      <c r="CJ190" s="94">
        <f t="shared" si="458"/>
        <v>0</v>
      </c>
      <c r="CK190" s="94">
        <f t="shared" si="458"/>
        <v>0</v>
      </c>
      <c r="CL190" s="94">
        <f t="shared" si="458"/>
        <v>0</v>
      </c>
      <c r="CM190" s="94">
        <f t="shared" si="458"/>
        <v>0</v>
      </c>
      <c r="CN190" s="94">
        <f t="shared" si="458"/>
        <v>0</v>
      </c>
      <c r="CO190" s="94">
        <f t="shared" si="458"/>
        <v>-1149</v>
      </c>
      <c r="CP190" s="94">
        <f t="shared" si="458"/>
        <v>-801</v>
      </c>
      <c r="CQ190" s="94">
        <f t="shared" si="458"/>
        <v>-638</v>
      </c>
      <c r="CR190" s="94">
        <f t="shared" si="459"/>
        <v>-638</v>
      </c>
      <c r="CS190" s="94">
        <f t="shared" si="459"/>
        <v>-638</v>
      </c>
      <c r="CT190" s="94">
        <f t="shared" si="459"/>
        <v>-6407</v>
      </c>
      <c r="CU190" s="94">
        <f t="shared" si="459"/>
        <v>-6407</v>
      </c>
      <c r="CV190" s="94">
        <f t="shared" si="459"/>
        <v>-34230</v>
      </c>
      <c r="CW190" s="94">
        <f t="shared" si="459"/>
        <v>-3872</v>
      </c>
      <c r="CX190" s="94">
        <f t="shared" si="459"/>
        <v>-3872</v>
      </c>
      <c r="CY190" s="94">
        <f t="shared" si="459"/>
        <v>-3872</v>
      </c>
      <c r="CZ190" s="94">
        <f t="shared" si="459"/>
        <v>0</v>
      </c>
      <c r="DA190" s="94">
        <f t="shared" si="459"/>
        <v>-10022</v>
      </c>
      <c r="DB190" s="94">
        <f t="shared" si="460"/>
        <v>-10022</v>
      </c>
      <c r="DC190" s="94">
        <f t="shared" si="460"/>
        <v>-14815</v>
      </c>
      <c r="DD190" s="94">
        <f t="shared" si="460"/>
        <v>-14815</v>
      </c>
      <c r="DE190" s="94">
        <f t="shared" si="460"/>
        <v>-14815</v>
      </c>
      <c r="DF190" s="94">
        <f t="shared" si="460"/>
        <v>0</v>
      </c>
      <c r="DG190" s="94">
        <f t="shared" si="460"/>
        <v>0</v>
      </c>
      <c r="DH190" s="94">
        <f t="shared" si="460"/>
        <v>-9803</v>
      </c>
      <c r="DI190" s="94">
        <f t="shared" si="460"/>
        <v>-5119</v>
      </c>
      <c r="DJ190" s="94">
        <f t="shared" si="460"/>
        <v>-5119</v>
      </c>
      <c r="DK190" s="94">
        <f t="shared" si="460"/>
        <v>-5119</v>
      </c>
      <c r="DL190" s="94">
        <f t="shared" si="461"/>
        <v>0</v>
      </c>
      <c r="DM190" s="94">
        <f t="shared" si="461"/>
        <v>0</v>
      </c>
      <c r="DN190" s="94">
        <f t="shared" si="461"/>
        <v>0</v>
      </c>
      <c r="DO190" s="94">
        <f t="shared" si="461"/>
        <v>0</v>
      </c>
      <c r="DP190" s="94">
        <f t="shared" si="461"/>
        <v>0</v>
      </c>
      <c r="DQ190" s="94">
        <f t="shared" si="461"/>
        <v>0</v>
      </c>
      <c r="DR190" s="94">
        <f t="shared" si="461"/>
        <v>0</v>
      </c>
      <c r="DS190" s="94">
        <f t="shared" si="461"/>
        <v>0</v>
      </c>
      <c r="DT190" s="94">
        <f t="shared" si="461"/>
        <v>0</v>
      </c>
      <c r="DU190" s="94">
        <f t="shared" si="461"/>
        <v>0</v>
      </c>
      <c r="DV190" s="94">
        <f t="shared" si="462"/>
        <v>0</v>
      </c>
      <c r="DW190" s="94">
        <f t="shared" si="462"/>
        <v>0</v>
      </c>
      <c r="DX190" s="94">
        <f t="shared" si="462"/>
        <v>0</v>
      </c>
      <c r="DY190" s="94">
        <f t="shared" si="462"/>
        <v>0</v>
      </c>
      <c r="DZ190" s="94">
        <f t="shared" si="462"/>
        <v>0</v>
      </c>
      <c r="EA190" s="94">
        <f t="shared" si="462"/>
        <v>0</v>
      </c>
      <c r="EB190" s="94">
        <f t="shared" si="462"/>
        <v>0</v>
      </c>
      <c r="EC190" s="94">
        <f t="shared" si="462"/>
        <v>0</v>
      </c>
      <c r="ED190" s="94">
        <f t="shared" si="462"/>
        <v>0</v>
      </c>
      <c r="EE190" s="94">
        <f t="shared" si="462"/>
        <v>0</v>
      </c>
      <c r="EF190" s="94">
        <f t="shared" si="463"/>
        <v>0</v>
      </c>
      <c r="EG190" s="94">
        <f t="shared" si="463"/>
        <v>0</v>
      </c>
      <c r="EH190" s="94">
        <f t="shared" si="463"/>
        <v>0</v>
      </c>
      <c r="EI190" s="94">
        <f t="shared" si="463"/>
        <v>0</v>
      </c>
      <c r="EJ190" s="94">
        <f t="shared" si="463"/>
        <v>0</v>
      </c>
      <c r="EK190" s="94">
        <f t="shared" si="463"/>
        <v>0</v>
      </c>
      <c r="EL190" s="94">
        <f t="shared" si="463"/>
        <v>0</v>
      </c>
    </row>
    <row r="191" spans="2:142" x14ac:dyDescent="0.3">
      <c r="B191" s="129" t="s">
        <v>618</v>
      </c>
      <c r="C191" s="129" t="s">
        <v>492</v>
      </c>
      <c r="D191" s="183" t="str">
        <f>IF(Menu!$D$12="PT",'Dados Financeiros'!B191,'Dados Financeiros'!C191)</f>
        <v>Programa de pagamento em ações - stock option - FCX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22</v>
      </c>
      <c r="P191" s="4">
        <v>-347</v>
      </c>
      <c r="Q191" s="4">
        <v>116</v>
      </c>
      <c r="R191" s="4">
        <v>156</v>
      </c>
      <c r="S191" s="4">
        <v>7</v>
      </c>
      <c r="T191" s="4">
        <v>89</v>
      </c>
      <c r="U191" s="4">
        <v>167</v>
      </c>
      <c r="V191" s="4">
        <v>876</v>
      </c>
      <c r="W191" s="4">
        <v>0</v>
      </c>
      <c r="X191" s="4">
        <v>-2876</v>
      </c>
      <c r="Y191" s="4">
        <v>-912</v>
      </c>
      <c r="Z191" s="4">
        <v>-912</v>
      </c>
      <c r="AA191" s="4">
        <v>1071</v>
      </c>
      <c r="AB191" s="4">
        <v>1071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400</v>
      </c>
      <c r="AI191" s="4">
        <v>58</v>
      </c>
      <c r="AJ191" s="4">
        <v>-3691</v>
      </c>
      <c r="AK191" s="4">
        <v>0</v>
      </c>
      <c r="AL191" s="4">
        <v>-2086</v>
      </c>
      <c r="AM191" s="4">
        <v>0</v>
      </c>
      <c r="AN191" s="4">
        <v>-4955</v>
      </c>
      <c r="AO191" s="4">
        <v>0</v>
      </c>
      <c r="AP191" s="4">
        <v>0</v>
      </c>
      <c r="AQ191" s="4">
        <v>0</v>
      </c>
      <c r="AR191" s="4">
        <v>-13912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9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4">
        <v>0</v>
      </c>
      <c r="BH191" s="4">
        <v>0</v>
      </c>
      <c r="BI191" s="4">
        <v>0</v>
      </c>
      <c r="BJ191" s="4">
        <v>0</v>
      </c>
      <c r="BK191" s="4">
        <v>0</v>
      </c>
      <c r="BL191" s="4">
        <v>0</v>
      </c>
      <c r="BM191" s="4">
        <v>0</v>
      </c>
      <c r="BN191" s="4">
        <v>0</v>
      </c>
      <c r="BO191" s="4">
        <v>0</v>
      </c>
      <c r="BP191" s="4">
        <v>0</v>
      </c>
      <c r="BQ191" s="4">
        <v>0</v>
      </c>
      <c r="BR191" s="4">
        <v>0</v>
      </c>
      <c r="BS191" s="4">
        <v>0</v>
      </c>
      <c r="BT191" s="4">
        <v>0</v>
      </c>
      <c r="BU191" s="4">
        <v>0</v>
      </c>
      <c r="BV191" s="4">
        <v>0</v>
      </c>
      <c r="BW191" s="4">
        <v>0</v>
      </c>
      <c r="BX191" s="4">
        <v>0</v>
      </c>
      <c r="BY191" s="4">
        <v>0</v>
      </c>
      <c r="BZ191" s="4">
        <v>0</v>
      </c>
      <c r="CA191" s="4">
        <v>0</v>
      </c>
      <c r="CB191" s="4">
        <v>0</v>
      </c>
      <c r="CC191" s="4">
        <v>0</v>
      </c>
      <c r="CD191" s="4">
        <v>0</v>
      </c>
      <c r="CE191" s="4">
        <v>0</v>
      </c>
      <c r="CF191" s="4">
        <v>0</v>
      </c>
      <c r="CH191" s="94">
        <f t="shared" si="458"/>
        <v>0</v>
      </c>
      <c r="CI191" s="94">
        <f t="shared" si="458"/>
        <v>0</v>
      </c>
      <c r="CJ191" s="94">
        <f t="shared" si="458"/>
        <v>0</v>
      </c>
      <c r="CK191" s="94">
        <f t="shared" si="458"/>
        <v>0</v>
      </c>
      <c r="CL191" s="94">
        <f t="shared" si="458"/>
        <v>0</v>
      </c>
      <c r="CM191" s="94">
        <f t="shared" si="458"/>
        <v>0</v>
      </c>
      <c r="CN191" s="94">
        <f t="shared" si="458"/>
        <v>0</v>
      </c>
      <c r="CO191" s="94">
        <f t="shared" si="458"/>
        <v>22</v>
      </c>
      <c r="CP191" s="94">
        <f t="shared" si="458"/>
        <v>-325</v>
      </c>
      <c r="CQ191" s="94">
        <f t="shared" si="458"/>
        <v>272</v>
      </c>
      <c r="CR191" s="94">
        <f t="shared" si="459"/>
        <v>279</v>
      </c>
      <c r="CS191" s="94">
        <f t="shared" si="459"/>
        <v>368</v>
      </c>
      <c r="CT191" s="94">
        <f t="shared" si="459"/>
        <v>1043</v>
      </c>
      <c r="CU191" s="94">
        <f t="shared" si="459"/>
        <v>1043</v>
      </c>
      <c r="CV191" s="94">
        <f t="shared" si="459"/>
        <v>-1833</v>
      </c>
      <c r="CW191" s="94">
        <f t="shared" si="459"/>
        <v>159</v>
      </c>
      <c r="CX191" s="94">
        <f t="shared" si="459"/>
        <v>159</v>
      </c>
      <c r="CY191" s="94">
        <f t="shared" si="459"/>
        <v>159</v>
      </c>
      <c r="CZ191" s="94">
        <f t="shared" si="459"/>
        <v>400</v>
      </c>
      <c r="DA191" s="94">
        <f t="shared" si="459"/>
        <v>458</v>
      </c>
      <c r="DB191" s="94">
        <f t="shared" si="460"/>
        <v>-3233</v>
      </c>
      <c r="DC191" s="94">
        <f t="shared" si="460"/>
        <v>-2086</v>
      </c>
      <c r="DD191" s="94">
        <f t="shared" si="460"/>
        <v>-2086</v>
      </c>
      <c r="DE191" s="94">
        <f t="shared" si="460"/>
        <v>-7041</v>
      </c>
      <c r="DF191" s="94">
        <f t="shared" si="460"/>
        <v>0</v>
      </c>
      <c r="DG191" s="94">
        <f t="shared" si="460"/>
        <v>0</v>
      </c>
      <c r="DH191" s="94">
        <f t="shared" si="460"/>
        <v>-13912</v>
      </c>
      <c r="DI191" s="94">
        <f t="shared" si="460"/>
        <v>0</v>
      </c>
      <c r="DJ191" s="94">
        <f t="shared" si="460"/>
        <v>0</v>
      </c>
      <c r="DK191" s="94">
        <f t="shared" si="460"/>
        <v>0</v>
      </c>
      <c r="DL191" s="94">
        <f t="shared" si="461"/>
        <v>0</v>
      </c>
      <c r="DM191" s="94">
        <f t="shared" si="461"/>
        <v>0</v>
      </c>
      <c r="DN191" s="94">
        <f t="shared" si="461"/>
        <v>0</v>
      </c>
      <c r="DO191" s="94">
        <f t="shared" si="461"/>
        <v>0</v>
      </c>
      <c r="DP191" s="94">
        <f t="shared" si="461"/>
        <v>0</v>
      </c>
      <c r="DQ191" s="94">
        <f t="shared" si="461"/>
        <v>0</v>
      </c>
      <c r="DR191" s="94">
        <f t="shared" si="461"/>
        <v>0</v>
      </c>
      <c r="DS191" s="94">
        <f t="shared" si="461"/>
        <v>0</v>
      </c>
      <c r="DT191" s="94">
        <f t="shared" si="461"/>
        <v>0</v>
      </c>
      <c r="DU191" s="94">
        <f t="shared" si="461"/>
        <v>0</v>
      </c>
      <c r="DV191" s="94">
        <f t="shared" si="462"/>
        <v>0</v>
      </c>
      <c r="DW191" s="94">
        <f t="shared" si="462"/>
        <v>0</v>
      </c>
      <c r="DX191" s="94">
        <f t="shared" si="462"/>
        <v>0</v>
      </c>
      <c r="DY191" s="94">
        <f t="shared" si="462"/>
        <v>0</v>
      </c>
      <c r="DZ191" s="94">
        <f t="shared" si="462"/>
        <v>0</v>
      </c>
      <c r="EA191" s="94">
        <f t="shared" si="462"/>
        <v>0</v>
      </c>
      <c r="EB191" s="94">
        <f t="shared" si="462"/>
        <v>0</v>
      </c>
      <c r="EC191" s="94">
        <f t="shared" si="462"/>
        <v>0</v>
      </c>
      <c r="ED191" s="94">
        <f t="shared" si="462"/>
        <v>0</v>
      </c>
      <c r="EE191" s="94">
        <f t="shared" si="462"/>
        <v>0</v>
      </c>
      <c r="EF191" s="94">
        <f t="shared" si="463"/>
        <v>0</v>
      </c>
      <c r="EG191" s="94">
        <f t="shared" si="463"/>
        <v>0</v>
      </c>
      <c r="EH191" s="94">
        <f t="shared" si="463"/>
        <v>0</v>
      </c>
      <c r="EI191" s="94">
        <f t="shared" si="463"/>
        <v>0</v>
      </c>
      <c r="EJ191" s="94">
        <f t="shared" si="463"/>
        <v>0</v>
      </c>
      <c r="EK191" s="94">
        <f t="shared" si="463"/>
        <v>0</v>
      </c>
      <c r="EL191" s="94">
        <f t="shared" si="463"/>
        <v>0</v>
      </c>
    </row>
    <row r="192" spans="2:142" x14ac:dyDescent="0.3">
      <c r="B192" s="129" t="s">
        <v>331</v>
      </c>
      <c r="C192" s="129" t="s">
        <v>493</v>
      </c>
      <c r="D192" s="183" t="str">
        <f>IF(Menu!$D$12="PT",'Dados Financeiros'!B192,'Dados Financeiros'!C192)</f>
        <v>Resultado abrangente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-63529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9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4">
        <v>0</v>
      </c>
      <c r="BM192" s="4">
        <v>0</v>
      </c>
      <c r="BN192" s="4">
        <v>0</v>
      </c>
      <c r="BO192" s="4">
        <v>0</v>
      </c>
      <c r="BP192" s="4">
        <v>0</v>
      </c>
      <c r="BQ192" s="4">
        <v>0</v>
      </c>
      <c r="BR192" s="4">
        <v>0</v>
      </c>
      <c r="BS192" s="4">
        <v>0</v>
      </c>
      <c r="BT192" s="4">
        <v>0</v>
      </c>
      <c r="BU192" s="4">
        <v>0</v>
      </c>
      <c r="BV192" s="4">
        <v>0</v>
      </c>
      <c r="BW192" s="4">
        <v>0</v>
      </c>
      <c r="BX192" s="4">
        <v>0</v>
      </c>
      <c r="BY192" s="4">
        <v>0</v>
      </c>
      <c r="BZ192" s="4">
        <v>0</v>
      </c>
      <c r="CA192" s="4">
        <v>0</v>
      </c>
      <c r="CB192" s="4">
        <v>0</v>
      </c>
      <c r="CC192" s="4">
        <v>0</v>
      </c>
      <c r="CD192" s="4">
        <v>0</v>
      </c>
      <c r="CE192" s="4">
        <v>0</v>
      </c>
      <c r="CF192" s="4">
        <v>0</v>
      </c>
      <c r="CH192" s="94">
        <f t="shared" si="458"/>
        <v>0</v>
      </c>
      <c r="CI192" s="94">
        <f t="shared" si="458"/>
        <v>0</v>
      </c>
      <c r="CJ192" s="94">
        <f t="shared" si="458"/>
        <v>0</v>
      </c>
      <c r="CK192" s="94">
        <f t="shared" si="458"/>
        <v>0</v>
      </c>
      <c r="CL192" s="94">
        <f t="shared" si="458"/>
        <v>0</v>
      </c>
      <c r="CM192" s="94">
        <f t="shared" si="458"/>
        <v>0</v>
      </c>
      <c r="CN192" s="94">
        <f t="shared" si="458"/>
        <v>0</v>
      </c>
      <c r="CO192" s="94">
        <f t="shared" si="458"/>
        <v>0</v>
      </c>
      <c r="CP192" s="94">
        <f t="shared" si="458"/>
        <v>0</v>
      </c>
      <c r="CQ192" s="94">
        <f t="shared" si="458"/>
        <v>0</v>
      </c>
      <c r="CR192" s="94">
        <f t="shared" si="459"/>
        <v>0</v>
      </c>
      <c r="CS192" s="94">
        <f t="shared" si="459"/>
        <v>0</v>
      </c>
      <c r="CT192" s="94">
        <f t="shared" si="459"/>
        <v>0</v>
      </c>
      <c r="CU192" s="94">
        <f t="shared" si="459"/>
        <v>0</v>
      </c>
      <c r="CV192" s="94">
        <f t="shared" si="459"/>
        <v>0</v>
      </c>
      <c r="CW192" s="94">
        <f t="shared" si="459"/>
        <v>0</v>
      </c>
      <c r="CX192" s="94">
        <f t="shared" si="459"/>
        <v>0</v>
      </c>
      <c r="CY192" s="94">
        <f t="shared" si="459"/>
        <v>0</v>
      </c>
      <c r="CZ192" s="94">
        <f t="shared" si="459"/>
        <v>0</v>
      </c>
      <c r="DA192" s="94">
        <f t="shared" si="459"/>
        <v>0</v>
      </c>
      <c r="DB192" s="94">
        <f t="shared" si="460"/>
        <v>-63529</v>
      </c>
      <c r="DC192" s="94">
        <f t="shared" si="460"/>
        <v>0</v>
      </c>
      <c r="DD192" s="94">
        <f t="shared" si="460"/>
        <v>0</v>
      </c>
      <c r="DE192" s="94">
        <f t="shared" si="460"/>
        <v>0</v>
      </c>
      <c r="DF192" s="94">
        <f t="shared" si="460"/>
        <v>0</v>
      </c>
      <c r="DG192" s="94">
        <f t="shared" si="460"/>
        <v>0</v>
      </c>
      <c r="DH192" s="94">
        <f t="shared" si="460"/>
        <v>0</v>
      </c>
      <c r="DI192" s="94">
        <f t="shared" si="460"/>
        <v>0</v>
      </c>
      <c r="DJ192" s="94">
        <f t="shared" si="460"/>
        <v>0</v>
      </c>
      <c r="DK192" s="94">
        <f t="shared" si="460"/>
        <v>0</v>
      </c>
      <c r="DL192" s="94">
        <f t="shared" si="461"/>
        <v>0</v>
      </c>
      <c r="DM192" s="94">
        <f t="shared" si="461"/>
        <v>0</v>
      </c>
      <c r="DN192" s="94">
        <f t="shared" si="461"/>
        <v>0</v>
      </c>
      <c r="DO192" s="94">
        <f t="shared" si="461"/>
        <v>0</v>
      </c>
      <c r="DP192" s="94">
        <f t="shared" si="461"/>
        <v>0</v>
      </c>
      <c r="DQ192" s="94">
        <f t="shared" si="461"/>
        <v>0</v>
      </c>
      <c r="DR192" s="94">
        <f t="shared" si="461"/>
        <v>0</v>
      </c>
      <c r="DS192" s="94">
        <f t="shared" si="461"/>
        <v>0</v>
      </c>
      <c r="DT192" s="94">
        <f t="shared" si="461"/>
        <v>0</v>
      </c>
      <c r="DU192" s="94">
        <f t="shared" si="461"/>
        <v>0</v>
      </c>
      <c r="DV192" s="94">
        <f t="shared" si="462"/>
        <v>0</v>
      </c>
      <c r="DW192" s="94">
        <f t="shared" si="462"/>
        <v>0</v>
      </c>
      <c r="DX192" s="94">
        <f t="shared" si="462"/>
        <v>0</v>
      </c>
      <c r="DY192" s="94">
        <f t="shared" si="462"/>
        <v>0</v>
      </c>
      <c r="DZ192" s="94">
        <f t="shared" si="462"/>
        <v>0</v>
      </c>
      <c r="EA192" s="94">
        <f t="shared" si="462"/>
        <v>0</v>
      </c>
      <c r="EB192" s="94">
        <f t="shared" si="462"/>
        <v>0</v>
      </c>
      <c r="EC192" s="94">
        <f t="shared" si="462"/>
        <v>0</v>
      </c>
      <c r="ED192" s="94">
        <f t="shared" si="462"/>
        <v>0</v>
      </c>
      <c r="EE192" s="94">
        <f t="shared" si="462"/>
        <v>0</v>
      </c>
      <c r="EF192" s="94">
        <f t="shared" si="463"/>
        <v>0</v>
      </c>
      <c r="EG192" s="94">
        <f t="shared" si="463"/>
        <v>0</v>
      </c>
      <c r="EH192" s="94">
        <f t="shared" si="463"/>
        <v>0</v>
      </c>
      <c r="EI192" s="94">
        <f t="shared" si="463"/>
        <v>0</v>
      </c>
      <c r="EJ192" s="94">
        <f t="shared" si="463"/>
        <v>0</v>
      </c>
      <c r="EK192" s="94">
        <f t="shared" si="463"/>
        <v>0</v>
      </c>
      <c r="EL192" s="94">
        <f t="shared" si="463"/>
        <v>0</v>
      </c>
    </row>
    <row r="193" spans="2:142" x14ac:dyDescent="0.3">
      <c r="B193" s="129" t="s">
        <v>619</v>
      </c>
      <c r="C193" s="129" t="s">
        <v>494</v>
      </c>
      <c r="D193" s="183" t="str">
        <f>IF(Menu!$D$12="PT",'Dados Financeiros'!B193,'Dados Financeiros'!C193)</f>
        <v>Variação líquida dos empréstimos tomados - FCX</v>
      </c>
      <c r="E193" s="4">
        <v>-88038</v>
      </c>
      <c r="F193" s="4">
        <v>-7429</v>
      </c>
      <c r="G193" s="4">
        <v>9345</v>
      </c>
      <c r="H193" s="4">
        <v>10770</v>
      </c>
      <c r="I193" s="4">
        <v>74568</v>
      </c>
      <c r="J193" s="4">
        <v>54744</v>
      </c>
      <c r="K193" s="4">
        <v>43843</v>
      </c>
      <c r="L193" s="4">
        <v>10247</v>
      </c>
      <c r="M193" s="4">
        <v>67488</v>
      </c>
      <c r="N193" s="4">
        <v>46393</v>
      </c>
      <c r="O193" s="4">
        <v>44197</v>
      </c>
      <c r="P193" s="4">
        <v>421047</v>
      </c>
      <c r="Q193" s="4">
        <v>31391</v>
      </c>
      <c r="R193" s="4">
        <v>40734</v>
      </c>
      <c r="S193" s="4">
        <v>174709</v>
      </c>
      <c r="T193" s="4">
        <v>7954</v>
      </c>
      <c r="U193" s="4">
        <v>-13858</v>
      </c>
      <c r="V193" s="4">
        <v>-191002</v>
      </c>
      <c r="W193" s="4">
        <v>215231</v>
      </c>
      <c r="X193" s="4">
        <v>-31104</v>
      </c>
      <c r="Y193" s="4">
        <v>27948</v>
      </c>
      <c r="Z193" s="4">
        <v>52619</v>
      </c>
      <c r="AA193" s="4">
        <v>83856</v>
      </c>
      <c r="AB193" s="4">
        <v>102681</v>
      </c>
      <c r="AC193" s="4">
        <v>29923</v>
      </c>
      <c r="AD193" s="4">
        <v>61277</v>
      </c>
      <c r="AE193" s="4">
        <v>76069</v>
      </c>
      <c r="AF193" s="4">
        <v>61810</v>
      </c>
      <c r="AG193" s="4">
        <v>182734</v>
      </c>
      <c r="AH193" s="4">
        <v>87133</v>
      </c>
      <c r="AI193" s="4">
        <f>274961-AH193-AG193</f>
        <v>5094</v>
      </c>
      <c r="AJ193" s="4">
        <v>11699</v>
      </c>
      <c r="AK193" s="4">
        <v>170815</v>
      </c>
      <c r="AL193" s="4">
        <v>141012</v>
      </c>
      <c r="AM193" s="4">
        <v>-154012</v>
      </c>
      <c r="AN193" s="4">
        <v>-120629</v>
      </c>
      <c r="AO193" s="4">
        <v>18265</v>
      </c>
      <c r="AP193" s="4">
        <v>-108722</v>
      </c>
      <c r="AQ193" s="4">
        <v>-95372</v>
      </c>
      <c r="AR193" s="4">
        <v>-179482</v>
      </c>
      <c r="AS193" s="4">
        <v>-25313</v>
      </c>
      <c r="AT193" s="4">
        <v>442</v>
      </c>
      <c r="AU193" s="4">
        <v>-167993</v>
      </c>
      <c r="AV193" s="4">
        <f>-198420-AU193-AT193-AS193</f>
        <v>-5556</v>
      </c>
      <c r="AW193" s="4">
        <v>-163677</v>
      </c>
      <c r="AX193" s="4">
        <v>-140450</v>
      </c>
      <c r="AY193" s="4">
        <v>-26144</v>
      </c>
      <c r="AZ193" s="4">
        <v>-33215</v>
      </c>
      <c r="BA193" s="94">
        <v>-48923</v>
      </c>
      <c r="BB193" s="4">
        <v>11761</v>
      </c>
      <c r="BC193" s="4">
        <v>-46151</v>
      </c>
      <c r="BD193" s="4">
        <v>-16826</v>
      </c>
      <c r="BE193" s="4">
        <v>-54938</v>
      </c>
      <c r="BF193" s="4">
        <v>-27392</v>
      </c>
      <c r="BG193" s="4">
        <v>-126547</v>
      </c>
      <c r="BH193" s="4">
        <v>-40173</v>
      </c>
      <c r="BI193" s="4">
        <v>-44013</v>
      </c>
      <c r="BJ193" s="4">
        <v>31274</v>
      </c>
      <c r="BK193" s="4">
        <v>101246</v>
      </c>
      <c r="BL193" s="4">
        <v>81805</v>
      </c>
      <c r="BM193" s="4">
        <v>32167</v>
      </c>
      <c r="BN193" s="4">
        <v>-22796</v>
      </c>
      <c r="BO193" s="4">
        <v>6492</v>
      </c>
      <c r="BP193" s="4">
        <v>-7808</v>
      </c>
      <c r="BQ193" s="4">
        <v>5913</v>
      </c>
      <c r="BR193" s="4">
        <v>-10930</v>
      </c>
      <c r="BS193" s="4">
        <v>-1099</v>
      </c>
      <c r="BT193" s="4">
        <v>68252</v>
      </c>
      <c r="BU193" s="4">
        <v>3374</v>
      </c>
      <c r="BV193" s="4">
        <v>-2519</v>
      </c>
      <c r="BW193" s="4">
        <v>44859</v>
      </c>
      <c r="BX193" s="4">
        <v>6536</v>
      </c>
      <c r="BY193" s="4">
        <v>37429</v>
      </c>
      <c r="BZ193" s="4">
        <v>-7402</v>
      </c>
      <c r="CA193" s="4">
        <v>-53192</v>
      </c>
      <c r="CB193" s="4">
        <v>-32952</v>
      </c>
      <c r="CC193" s="4">
        <v>-89522</v>
      </c>
      <c r="CD193" s="4">
        <v>-24835</v>
      </c>
      <c r="CE193" s="4">
        <v>-13522</v>
      </c>
      <c r="CF193" s="4">
        <v>150366</v>
      </c>
      <c r="CH193" s="94">
        <f t="shared" si="458"/>
        <v>-95467</v>
      </c>
      <c r="CI193" s="94">
        <f t="shared" si="458"/>
        <v>-86122</v>
      </c>
      <c r="CJ193" s="94">
        <f t="shared" si="458"/>
        <v>-75352</v>
      </c>
      <c r="CK193" s="94">
        <f t="shared" si="458"/>
        <v>129312</v>
      </c>
      <c r="CL193" s="94">
        <f t="shared" si="458"/>
        <v>173155</v>
      </c>
      <c r="CM193" s="94">
        <f t="shared" si="458"/>
        <v>183402</v>
      </c>
      <c r="CN193" s="94">
        <f t="shared" si="458"/>
        <v>113881</v>
      </c>
      <c r="CO193" s="94">
        <f t="shared" si="458"/>
        <v>158078</v>
      </c>
      <c r="CP193" s="94">
        <f t="shared" si="458"/>
        <v>579125</v>
      </c>
      <c r="CQ193" s="94">
        <f t="shared" si="458"/>
        <v>72125</v>
      </c>
      <c r="CR193" s="94">
        <f t="shared" si="459"/>
        <v>246834</v>
      </c>
      <c r="CS193" s="94">
        <f t="shared" si="459"/>
        <v>254788</v>
      </c>
      <c r="CT193" s="94">
        <f t="shared" si="459"/>
        <v>-204860</v>
      </c>
      <c r="CU193" s="94">
        <f t="shared" si="459"/>
        <v>10371</v>
      </c>
      <c r="CV193" s="94">
        <f t="shared" si="459"/>
        <v>-20733</v>
      </c>
      <c r="CW193" s="94">
        <f t="shared" si="459"/>
        <v>155300</v>
      </c>
      <c r="CX193" s="94">
        <f t="shared" si="459"/>
        <v>216577</v>
      </c>
      <c r="CY193" s="94">
        <f t="shared" si="459"/>
        <v>278387</v>
      </c>
      <c r="CZ193" s="94">
        <f t="shared" si="459"/>
        <v>269867</v>
      </c>
      <c r="DA193" s="94">
        <f t="shared" si="459"/>
        <v>274961</v>
      </c>
      <c r="DB193" s="94">
        <f t="shared" si="460"/>
        <v>286660</v>
      </c>
      <c r="DC193" s="94">
        <f t="shared" si="460"/>
        <v>311827</v>
      </c>
      <c r="DD193" s="94">
        <f t="shared" si="460"/>
        <v>157815</v>
      </c>
      <c r="DE193" s="94">
        <f t="shared" si="460"/>
        <v>37186</v>
      </c>
      <c r="DF193" s="94">
        <f t="shared" si="460"/>
        <v>-90457</v>
      </c>
      <c r="DG193" s="94">
        <f t="shared" si="460"/>
        <v>-185829</v>
      </c>
      <c r="DH193" s="94">
        <f t="shared" si="460"/>
        <v>-365311</v>
      </c>
      <c r="DI193" s="94">
        <f t="shared" si="460"/>
        <v>-24871</v>
      </c>
      <c r="DJ193" s="94">
        <f t="shared" si="460"/>
        <v>-192864</v>
      </c>
      <c r="DK193" s="94">
        <f t="shared" si="460"/>
        <v>-198420</v>
      </c>
      <c r="DL193" s="94">
        <f t="shared" si="461"/>
        <v>-304127</v>
      </c>
      <c r="DM193" s="94">
        <f t="shared" si="461"/>
        <v>-330271</v>
      </c>
      <c r="DN193" s="94">
        <f t="shared" si="461"/>
        <v>-363486</v>
      </c>
      <c r="DO193" s="94">
        <f t="shared" si="461"/>
        <v>-37162</v>
      </c>
      <c r="DP193" s="94">
        <f t="shared" si="461"/>
        <v>-83313</v>
      </c>
      <c r="DQ193" s="94">
        <f t="shared" si="461"/>
        <v>-100139</v>
      </c>
      <c r="DR193" s="94">
        <f t="shared" si="461"/>
        <v>-82330</v>
      </c>
      <c r="DS193" s="94">
        <f t="shared" si="461"/>
        <v>-208877</v>
      </c>
      <c r="DT193" s="94">
        <f t="shared" si="461"/>
        <v>-249050</v>
      </c>
      <c r="DU193" s="94">
        <f t="shared" si="461"/>
        <v>-12739</v>
      </c>
      <c r="DV193" s="94">
        <f t="shared" si="462"/>
        <v>88507</v>
      </c>
      <c r="DW193" s="94">
        <f t="shared" si="462"/>
        <v>170312</v>
      </c>
      <c r="DX193" s="94">
        <f t="shared" si="462"/>
        <v>9371</v>
      </c>
      <c r="DY193" s="94">
        <f t="shared" si="462"/>
        <v>15863</v>
      </c>
      <c r="DZ193" s="94">
        <f t="shared" si="462"/>
        <v>8055</v>
      </c>
      <c r="EA193" s="94">
        <f t="shared" si="462"/>
        <v>-5017</v>
      </c>
      <c r="EB193" s="94">
        <f t="shared" si="462"/>
        <v>-6116</v>
      </c>
      <c r="EC193" s="94">
        <f t="shared" si="462"/>
        <v>62136</v>
      </c>
      <c r="ED193" s="94">
        <f t="shared" si="462"/>
        <v>855</v>
      </c>
      <c r="EE193" s="94">
        <f t="shared" si="462"/>
        <v>45714</v>
      </c>
      <c r="EF193" s="94">
        <f t="shared" si="463"/>
        <v>52250</v>
      </c>
      <c r="EG193" s="94">
        <f t="shared" si="463"/>
        <v>30027</v>
      </c>
      <c r="EH193" s="94">
        <f t="shared" si="463"/>
        <v>-23165</v>
      </c>
      <c r="EI193" s="94">
        <f t="shared" si="463"/>
        <v>-56117</v>
      </c>
      <c r="EJ193" s="94">
        <f t="shared" si="463"/>
        <v>-114357</v>
      </c>
      <c r="EK193" s="94">
        <f t="shared" si="463"/>
        <v>-127879</v>
      </c>
      <c r="EL193" s="94">
        <f t="shared" si="463"/>
        <v>22487</v>
      </c>
    </row>
    <row r="194" spans="2:142" x14ac:dyDescent="0.3">
      <c r="B194" s="129" t="s">
        <v>367</v>
      </c>
      <c r="C194" s="129" t="s">
        <v>496</v>
      </c>
      <c r="D194" s="187" t="str">
        <f>IF(Menu!$D$12="PT",'Dados Financeiros'!B194,'Dados Financeiros'!C194)</f>
        <v>Desconsolidação de investida por venda de participação societária</v>
      </c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  <c r="AR194" s="94"/>
      <c r="AS194" s="94"/>
      <c r="AT194" s="94"/>
      <c r="AU194" s="94"/>
      <c r="AV194" s="94">
        <v>-78761</v>
      </c>
      <c r="AW194" s="4">
        <v>0</v>
      </c>
      <c r="AX194" s="4">
        <v>0</v>
      </c>
      <c r="AY194" s="4">
        <v>0</v>
      </c>
      <c r="AZ194" s="4">
        <v>0</v>
      </c>
      <c r="BA194" s="9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0</v>
      </c>
      <c r="BK194" s="4">
        <v>0</v>
      </c>
      <c r="BL194" s="4">
        <v>0</v>
      </c>
      <c r="BM194" s="4">
        <v>0</v>
      </c>
      <c r="BN194" s="4">
        <v>0</v>
      </c>
      <c r="BO194" s="4">
        <v>0</v>
      </c>
      <c r="BP194" s="4">
        <v>0</v>
      </c>
      <c r="BQ194" s="4">
        <v>0</v>
      </c>
      <c r="BR194" s="4">
        <v>0</v>
      </c>
      <c r="BS194" s="4">
        <v>0</v>
      </c>
      <c r="BT194" s="4"/>
      <c r="BU194" s="4">
        <v>0</v>
      </c>
      <c r="BV194" s="4">
        <v>0</v>
      </c>
      <c r="BW194" s="4">
        <v>0</v>
      </c>
      <c r="BX194" s="4">
        <v>0</v>
      </c>
      <c r="BY194" s="4">
        <v>0</v>
      </c>
      <c r="BZ194" s="4">
        <v>0</v>
      </c>
      <c r="CA194" s="4">
        <v>0</v>
      </c>
      <c r="CB194" s="4">
        <v>0</v>
      </c>
      <c r="CC194" s="4">
        <v>0</v>
      </c>
      <c r="CD194" s="4">
        <v>0</v>
      </c>
      <c r="CE194" s="4">
        <v>0</v>
      </c>
      <c r="CF194" s="4">
        <v>0</v>
      </c>
      <c r="CH194" s="94">
        <f t="shared" si="458"/>
        <v>0</v>
      </c>
      <c r="CI194" s="94">
        <f t="shared" si="458"/>
        <v>0</v>
      </c>
      <c r="CJ194" s="94">
        <f t="shared" si="458"/>
        <v>0</v>
      </c>
      <c r="CK194" s="94">
        <f t="shared" si="458"/>
        <v>0</v>
      </c>
      <c r="CL194" s="94">
        <f t="shared" si="458"/>
        <v>0</v>
      </c>
      <c r="CM194" s="94">
        <f t="shared" si="458"/>
        <v>0</v>
      </c>
      <c r="CN194" s="94">
        <f t="shared" si="458"/>
        <v>0</v>
      </c>
      <c r="CO194" s="94">
        <f t="shared" si="458"/>
        <v>0</v>
      </c>
      <c r="CP194" s="94">
        <f t="shared" si="458"/>
        <v>0</v>
      </c>
      <c r="CQ194" s="94">
        <f t="shared" si="458"/>
        <v>0</v>
      </c>
      <c r="CR194" s="94">
        <f t="shared" si="459"/>
        <v>0</v>
      </c>
      <c r="CS194" s="94">
        <f t="shared" si="459"/>
        <v>0</v>
      </c>
      <c r="CT194" s="94">
        <f t="shared" si="459"/>
        <v>0</v>
      </c>
      <c r="CU194" s="94">
        <f t="shared" si="459"/>
        <v>0</v>
      </c>
      <c r="CV194" s="94">
        <f t="shared" si="459"/>
        <v>0</v>
      </c>
      <c r="CW194" s="94">
        <f t="shared" si="459"/>
        <v>0</v>
      </c>
      <c r="CX194" s="94">
        <f t="shared" si="459"/>
        <v>0</v>
      </c>
      <c r="CY194" s="94">
        <f t="shared" si="459"/>
        <v>0</v>
      </c>
      <c r="CZ194" s="94">
        <f t="shared" si="459"/>
        <v>0</v>
      </c>
      <c r="DA194" s="94">
        <f t="shared" si="459"/>
        <v>0</v>
      </c>
      <c r="DB194" s="94">
        <f t="shared" si="460"/>
        <v>0</v>
      </c>
      <c r="DC194" s="94">
        <f t="shared" si="460"/>
        <v>0</v>
      </c>
      <c r="DD194" s="94">
        <f t="shared" si="460"/>
        <v>0</v>
      </c>
      <c r="DE194" s="94">
        <f t="shared" si="460"/>
        <v>0</v>
      </c>
      <c r="DF194" s="94">
        <f t="shared" si="460"/>
        <v>0</v>
      </c>
      <c r="DG194" s="94">
        <f t="shared" si="460"/>
        <v>0</v>
      </c>
      <c r="DH194" s="94">
        <f t="shared" si="460"/>
        <v>0</v>
      </c>
      <c r="DI194" s="94">
        <f t="shared" si="460"/>
        <v>0</v>
      </c>
      <c r="DJ194" s="94">
        <f t="shared" si="460"/>
        <v>0</v>
      </c>
      <c r="DK194" s="94">
        <f t="shared" si="460"/>
        <v>-78761</v>
      </c>
      <c r="DL194" s="94">
        <f t="shared" si="461"/>
        <v>0</v>
      </c>
      <c r="DM194" s="94">
        <f t="shared" si="461"/>
        <v>0</v>
      </c>
      <c r="DN194" s="94">
        <f t="shared" si="461"/>
        <v>0</v>
      </c>
      <c r="DO194" s="94">
        <f t="shared" si="461"/>
        <v>0</v>
      </c>
      <c r="DP194" s="94">
        <f t="shared" si="461"/>
        <v>0</v>
      </c>
      <c r="DQ194" s="94">
        <f t="shared" si="461"/>
        <v>0</v>
      </c>
      <c r="DR194" s="94">
        <f t="shared" si="461"/>
        <v>0</v>
      </c>
      <c r="DS194" s="94">
        <f t="shared" si="461"/>
        <v>0</v>
      </c>
      <c r="DT194" s="94">
        <f t="shared" si="461"/>
        <v>0</v>
      </c>
      <c r="DU194" s="94">
        <f t="shared" si="461"/>
        <v>0</v>
      </c>
      <c r="DV194" s="94">
        <f t="shared" si="462"/>
        <v>0</v>
      </c>
      <c r="DW194" s="94">
        <f t="shared" si="462"/>
        <v>0</v>
      </c>
      <c r="DX194" s="94">
        <f t="shared" si="462"/>
        <v>0</v>
      </c>
      <c r="DY194" s="94">
        <f t="shared" si="462"/>
        <v>0</v>
      </c>
      <c r="DZ194" s="94">
        <f t="shared" si="462"/>
        <v>0</v>
      </c>
      <c r="EA194" s="94">
        <f t="shared" si="462"/>
        <v>0</v>
      </c>
      <c r="EB194" s="94">
        <f t="shared" si="462"/>
        <v>0</v>
      </c>
      <c r="EC194" s="94">
        <f t="shared" si="462"/>
        <v>0</v>
      </c>
      <c r="ED194" s="94">
        <f t="shared" si="462"/>
        <v>0</v>
      </c>
      <c r="EE194" s="94">
        <f t="shared" si="462"/>
        <v>0</v>
      </c>
      <c r="EF194" s="94">
        <f t="shared" si="463"/>
        <v>0</v>
      </c>
      <c r="EG194" s="94">
        <f t="shared" si="463"/>
        <v>0</v>
      </c>
      <c r="EH194" s="94">
        <f t="shared" si="463"/>
        <v>0</v>
      </c>
      <c r="EI194" s="94">
        <f t="shared" si="463"/>
        <v>0</v>
      </c>
      <c r="EJ194" s="94">
        <f t="shared" si="463"/>
        <v>0</v>
      </c>
      <c r="EK194" s="94">
        <f t="shared" si="463"/>
        <v>0</v>
      </c>
      <c r="EL194" s="94">
        <f t="shared" si="463"/>
        <v>0</v>
      </c>
    </row>
    <row r="195" spans="2:142" x14ac:dyDescent="0.3">
      <c r="B195" s="129" t="s">
        <v>632</v>
      </c>
      <c r="C195" s="129" t="s">
        <v>497</v>
      </c>
      <c r="D195" s="183" t="str">
        <f>IF(Menu!$D$12="PT",'Dados Financeiros'!B195,'Dados Financeiros'!C195)</f>
        <v>Efeito das mudanças de participações em investidas no caixa e equivalentes - INV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/>
      <c r="AF195" s="4"/>
      <c r="AG195" s="4">
        <v>4429</v>
      </c>
      <c r="AH195" s="4">
        <v>0</v>
      </c>
      <c r="AI195" s="4">
        <v>0</v>
      </c>
      <c r="AJ195" s="4">
        <v>9967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 t="s">
        <v>348</v>
      </c>
      <c r="AR195" s="4">
        <v>-62002</v>
      </c>
      <c r="AS195" s="4">
        <v>356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94">
        <v>0</v>
      </c>
      <c r="BB195" s="4">
        <v>0</v>
      </c>
      <c r="BC195" s="4">
        <v>0</v>
      </c>
      <c r="BD195" s="4">
        <v>-4</v>
      </c>
      <c r="BE195" s="4">
        <v>0</v>
      </c>
      <c r="BF195" s="4">
        <v>0</v>
      </c>
      <c r="BG195" s="4">
        <v>0</v>
      </c>
      <c r="BH195" s="4">
        <v>0</v>
      </c>
      <c r="BI195" s="4">
        <v>0</v>
      </c>
      <c r="BJ195" s="4">
        <v>0</v>
      </c>
      <c r="BK195" s="4">
        <v>0</v>
      </c>
      <c r="BL195" s="4">
        <v>0</v>
      </c>
      <c r="BM195" s="4">
        <v>0</v>
      </c>
      <c r="BN195" s="4">
        <v>0</v>
      </c>
      <c r="BO195" s="4">
        <v>0</v>
      </c>
      <c r="BP195" s="4">
        <v>0</v>
      </c>
      <c r="BQ195" s="4">
        <v>0</v>
      </c>
      <c r="BR195" s="4">
        <v>0</v>
      </c>
      <c r="BS195" s="4">
        <v>0</v>
      </c>
      <c r="BT195" s="4"/>
      <c r="BU195" s="4">
        <v>0</v>
      </c>
      <c r="BV195" s="4">
        <v>0</v>
      </c>
      <c r="BW195" s="4">
        <v>0</v>
      </c>
      <c r="BX195" s="4">
        <v>0</v>
      </c>
      <c r="BY195" s="4">
        <v>0</v>
      </c>
      <c r="BZ195" s="4">
        <v>0</v>
      </c>
      <c r="CA195" s="4">
        <v>0</v>
      </c>
      <c r="CB195" s="4">
        <v>0</v>
      </c>
      <c r="CC195" s="4">
        <v>0</v>
      </c>
      <c r="CD195" s="4">
        <v>0</v>
      </c>
      <c r="CE195" s="4">
        <v>0</v>
      </c>
      <c r="CF195" s="4">
        <v>0</v>
      </c>
      <c r="CH195" s="94">
        <f t="shared" si="458"/>
        <v>0</v>
      </c>
      <c r="CI195" s="94">
        <f t="shared" si="458"/>
        <v>0</v>
      </c>
      <c r="CJ195" s="94">
        <f t="shared" si="458"/>
        <v>0</v>
      </c>
      <c r="CK195" s="94">
        <f t="shared" si="458"/>
        <v>0</v>
      </c>
      <c r="CL195" s="94">
        <f t="shared" si="458"/>
        <v>0</v>
      </c>
      <c r="CM195" s="94">
        <f t="shared" si="458"/>
        <v>0</v>
      </c>
      <c r="CN195" s="94">
        <f t="shared" si="458"/>
        <v>0</v>
      </c>
      <c r="CO195" s="94">
        <f t="shared" si="458"/>
        <v>0</v>
      </c>
      <c r="CP195" s="94">
        <f t="shared" si="458"/>
        <v>0</v>
      </c>
      <c r="CQ195" s="94">
        <f t="shared" si="458"/>
        <v>0</v>
      </c>
      <c r="CR195" s="94">
        <f t="shared" si="459"/>
        <v>0</v>
      </c>
      <c r="CS195" s="94">
        <f t="shared" si="459"/>
        <v>0</v>
      </c>
      <c r="CT195" s="94">
        <f t="shared" si="459"/>
        <v>0</v>
      </c>
      <c r="CU195" s="94">
        <f t="shared" si="459"/>
        <v>0</v>
      </c>
      <c r="CV195" s="94">
        <f t="shared" si="459"/>
        <v>0</v>
      </c>
      <c r="CW195" s="94">
        <f t="shared" si="459"/>
        <v>0</v>
      </c>
      <c r="CX195" s="94">
        <f t="shared" si="459"/>
        <v>0</v>
      </c>
      <c r="CY195" s="94">
        <f t="shared" si="459"/>
        <v>0</v>
      </c>
      <c r="CZ195" s="94">
        <f t="shared" si="459"/>
        <v>4429</v>
      </c>
      <c r="DA195" s="94">
        <f t="shared" si="459"/>
        <v>4429</v>
      </c>
      <c r="DB195" s="94">
        <f t="shared" si="460"/>
        <v>14396</v>
      </c>
      <c r="DC195" s="94">
        <f t="shared" si="460"/>
        <v>0</v>
      </c>
      <c r="DD195" s="94">
        <f t="shared" si="460"/>
        <v>0</v>
      </c>
      <c r="DE195" s="94">
        <f t="shared" si="460"/>
        <v>0</v>
      </c>
      <c r="DF195" s="94">
        <f t="shared" si="460"/>
        <v>0</v>
      </c>
      <c r="DG195" s="94">
        <f t="shared" si="460"/>
        <v>0</v>
      </c>
      <c r="DH195" s="94">
        <f t="shared" si="460"/>
        <v>-62002</v>
      </c>
      <c r="DI195" s="94">
        <f t="shared" si="460"/>
        <v>356</v>
      </c>
      <c r="DJ195" s="94">
        <f t="shared" si="460"/>
        <v>356</v>
      </c>
      <c r="DK195" s="94">
        <f t="shared" si="460"/>
        <v>356</v>
      </c>
      <c r="DL195" s="94">
        <f t="shared" si="461"/>
        <v>0</v>
      </c>
      <c r="DM195" s="94">
        <f t="shared" si="461"/>
        <v>0</v>
      </c>
      <c r="DN195" s="94">
        <f t="shared" si="461"/>
        <v>0</v>
      </c>
      <c r="DO195" s="94">
        <f t="shared" si="461"/>
        <v>0</v>
      </c>
      <c r="DP195" s="94">
        <f t="shared" si="461"/>
        <v>0</v>
      </c>
      <c r="DQ195" s="94">
        <f t="shared" si="461"/>
        <v>-4</v>
      </c>
      <c r="DR195" s="94">
        <f t="shared" si="461"/>
        <v>0</v>
      </c>
      <c r="DS195" s="94">
        <f t="shared" si="461"/>
        <v>0</v>
      </c>
      <c r="DT195" s="94">
        <f t="shared" si="461"/>
        <v>0</v>
      </c>
      <c r="DU195" s="94">
        <f t="shared" si="461"/>
        <v>0</v>
      </c>
      <c r="DV195" s="94">
        <f t="shared" si="462"/>
        <v>0</v>
      </c>
      <c r="DW195" s="94">
        <f t="shared" si="462"/>
        <v>0</v>
      </c>
      <c r="DX195" s="94">
        <f t="shared" si="462"/>
        <v>0</v>
      </c>
      <c r="DY195" s="94">
        <f t="shared" si="462"/>
        <v>0</v>
      </c>
      <c r="DZ195" s="94">
        <f t="shared" si="462"/>
        <v>0</v>
      </c>
      <c r="EA195" s="94">
        <f t="shared" si="462"/>
        <v>0</v>
      </c>
      <c r="EB195" s="94">
        <f t="shared" si="462"/>
        <v>0</v>
      </c>
      <c r="EC195" s="94">
        <f t="shared" si="462"/>
        <v>0</v>
      </c>
      <c r="ED195" s="94">
        <f t="shared" si="462"/>
        <v>0</v>
      </c>
      <c r="EE195" s="94">
        <f t="shared" si="462"/>
        <v>0</v>
      </c>
      <c r="EF195" s="94">
        <f t="shared" si="463"/>
        <v>0</v>
      </c>
      <c r="EG195" s="94">
        <f t="shared" si="463"/>
        <v>0</v>
      </c>
      <c r="EH195" s="94">
        <f t="shared" si="463"/>
        <v>0</v>
      </c>
      <c r="EI195" s="94">
        <f t="shared" si="463"/>
        <v>0</v>
      </c>
      <c r="EJ195" s="94">
        <f t="shared" si="463"/>
        <v>0</v>
      </c>
      <c r="EK195" s="94">
        <f t="shared" si="463"/>
        <v>0</v>
      </c>
      <c r="EL195" s="94">
        <f t="shared" si="463"/>
        <v>0</v>
      </c>
    </row>
    <row r="196" spans="2:142" ht="14.4" thickBot="1" x14ac:dyDescent="0.35">
      <c r="B196" s="130" t="s">
        <v>353</v>
      </c>
      <c r="C196" s="130" t="s">
        <v>498</v>
      </c>
      <c r="D196" s="200" t="str">
        <f>IF(Menu!$D$12="PT",'Dados Financeiros'!B196,'Dados Financeiros'!C196)</f>
        <v>Participação de acionistas não controladores em controladas</v>
      </c>
      <c r="E196" s="3">
        <v>0</v>
      </c>
      <c r="F196" s="3">
        <v>0</v>
      </c>
      <c r="G196" s="3">
        <v>0</v>
      </c>
      <c r="H196" s="3">
        <v>0</v>
      </c>
      <c r="I196" s="3">
        <v>31018</v>
      </c>
      <c r="J196" s="3">
        <v>6929</v>
      </c>
      <c r="K196" s="3">
        <v>-463</v>
      </c>
      <c r="L196" s="3">
        <v>2835</v>
      </c>
      <c r="M196" s="3">
        <v>-1726</v>
      </c>
      <c r="N196" s="3">
        <v>4581</v>
      </c>
      <c r="O196" s="3">
        <v>1824</v>
      </c>
      <c r="P196" s="3">
        <v>8460</v>
      </c>
      <c r="Q196" s="3">
        <v>400</v>
      </c>
      <c r="R196" s="3">
        <v>313</v>
      </c>
      <c r="S196" s="3">
        <v>-993</v>
      </c>
      <c r="T196" s="3">
        <v>27346</v>
      </c>
      <c r="U196" s="3">
        <v>470</v>
      </c>
      <c r="V196" s="3">
        <v>-47986</v>
      </c>
      <c r="W196" s="3">
        <v>-20101</v>
      </c>
      <c r="X196" s="3">
        <v>17163</v>
      </c>
      <c r="Y196" s="3">
        <v>285</v>
      </c>
      <c r="Z196" s="3">
        <v>468</v>
      </c>
      <c r="AA196" s="3">
        <v>-16763</v>
      </c>
      <c r="AB196" s="3">
        <v>-16762</v>
      </c>
      <c r="AC196" s="3">
        <v>8258</v>
      </c>
      <c r="AD196" s="3">
        <v>8951</v>
      </c>
      <c r="AE196" s="3">
        <v>-1577</v>
      </c>
      <c r="AF196" s="3">
        <v>-2267</v>
      </c>
      <c r="AG196" s="3">
        <v>18661</v>
      </c>
      <c r="AH196" s="3">
        <v>190</v>
      </c>
      <c r="AI196" s="3">
        <v>-4589</v>
      </c>
      <c r="AJ196" s="3">
        <v>-37825</v>
      </c>
      <c r="AK196" s="3">
        <v>924</v>
      </c>
      <c r="AL196" s="3">
        <v>-2853</v>
      </c>
      <c r="AM196" s="3">
        <v>-5306</v>
      </c>
      <c r="AN196" s="3">
        <v>-1763</v>
      </c>
      <c r="AO196" s="3">
        <v>2767</v>
      </c>
      <c r="AP196" s="3">
        <v>-6009</v>
      </c>
      <c r="AQ196" s="3">
        <v>-13793</v>
      </c>
      <c r="AR196" s="3">
        <v>-62926</v>
      </c>
      <c r="AS196" s="3">
        <v>104</v>
      </c>
      <c r="AT196" s="3">
        <v>-853</v>
      </c>
      <c r="AU196" s="3">
        <v>-5529</v>
      </c>
      <c r="AV196" s="3">
        <v>157</v>
      </c>
      <c r="AW196" s="3">
        <v>172</v>
      </c>
      <c r="AX196" s="3">
        <v>1</v>
      </c>
      <c r="AY196" s="3">
        <v>126</v>
      </c>
      <c r="AZ196" s="3">
        <v>67</v>
      </c>
      <c r="BA196" s="3">
        <v>17</v>
      </c>
      <c r="BB196" s="3">
        <v>8</v>
      </c>
      <c r="BC196" s="3">
        <v>179</v>
      </c>
      <c r="BD196" s="3">
        <v>-1</v>
      </c>
      <c r="BE196" s="3">
        <v>-3</v>
      </c>
      <c r="BF196" s="3">
        <v>33</v>
      </c>
      <c r="BG196" s="3">
        <v>11</v>
      </c>
      <c r="BH196" s="3">
        <v>5</v>
      </c>
      <c r="BI196" s="3">
        <v>-11</v>
      </c>
      <c r="BJ196" s="3">
        <v>2</v>
      </c>
      <c r="BK196" s="3">
        <v>2</v>
      </c>
      <c r="BL196" s="3">
        <v>12980</v>
      </c>
      <c r="BM196" s="3">
        <v>4</v>
      </c>
      <c r="BN196" s="3">
        <v>-1316</v>
      </c>
      <c r="BO196" s="3">
        <v>-4899</v>
      </c>
      <c r="BP196" s="3">
        <v>-3147</v>
      </c>
      <c r="BQ196" s="3">
        <v>1645</v>
      </c>
      <c r="BR196" s="3">
        <v>-45</v>
      </c>
      <c r="BS196" s="3">
        <v>-77</v>
      </c>
      <c r="BT196" s="3">
        <v>-41679</v>
      </c>
      <c r="BU196" s="3">
        <v>-251</v>
      </c>
      <c r="BV196" s="3">
        <v>-29</v>
      </c>
      <c r="BW196" s="3">
        <v>7244</v>
      </c>
      <c r="BX196" s="3">
        <v>6570</v>
      </c>
      <c r="BY196" s="3">
        <v>-837</v>
      </c>
      <c r="BZ196" s="3">
        <v>509</v>
      </c>
      <c r="CA196" s="3">
        <v>3</v>
      </c>
      <c r="CB196" s="3">
        <v>5736</v>
      </c>
      <c r="CC196" s="3">
        <v>1422</v>
      </c>
      <c r="CD196" s="3">
        <v>4</v>
      </c>
      <c r="CE196" s="3">
        <v>752</v>
      </c>
      <c r="CF196" s="3">
        <v>-11</v>
      </c>
      <c r="CH196" s="3">
        <f t="shared" si="458"/>
        <v>0</v>
      </c>
      <c r="CI196" s="3">
        <f t="shared" si="458"/>
        <v>0</v>
      </c>
      <c r="CJ196" s="3">
        <f t="shared" si="458"/>
        <v>0</v>
      </c>
      <c r="CK196" s="3">
        <f t="shared" si="458"/>
        <v>37947</v>
      </c>
      <c r="CL196" s="3">
        <f t="shared" si="458"/>
        <v>37484</v>
      </c>
      <c r="CM196" s="3">
        <f t="shared" si="458"/>
        <v>40319</v>
      </c>
      <c r="CN196" s="3">
        <f t="shared" si="458"/>
        <v>2855</v>
      </c>
      <c r="CO196" s="3">
        <f t="shared" si="458"/>
        <v>4679</v>
      </c>
      <c r="CP196" s="3">
        <f t="shared" si="458"/>
        <v>13139</v>
      </c>
      <c r="CQ196" s="3">
        <f t="shared" si="458"/>
        <v>713</v>
      </c>
      <c r="CR196" s="3">
        <f t="shared" si="459"/>
        <v>-280</v>
      </c>
      <c r="CS196" s="3">
        <f t="shared" si="459"/>
        <v>27066</v>
      </c>
      <c r="CT196" s="3">
        <f t="shared" si="459"/>
        <v>-47516</v>
      </c>
      <c r="CU196" s="3">
        <f t="shared" si="459"/>
        <v>-67617</v>
      </c>
      <c r="CV196" s="3">
        <f t="shared" si="459"/>
        <v>-50454</v>
      </c>
      <c r="CW196" s="3">
        <f t="shared" si="459"/>
        <v>-16294</v>
      </c>
      <c r="CX196" s="3">
        <f t="shared" si="459"/>
        <v>-7343</v>
      </c>
      <c r="CY196" s="3">
        <f t="shared" si="459"/>
        <v>-9610</v>
      </c>
      <c r="CZ196" s="3">
        <f t="shared" si="459"/>
        <v>18851</v>
      </c>
      <c r="DA196" s="3">
        <f t="shared" si="459"/>
        <v>14262</v>
      </c>
      <c r="DB196" s="3">
        <f t="shared" si="460"/>
        <v>-23563</v>
      </c>
      <c r="DC196" s="3">
        <f t="shared" si="460"/>
        <v>-1929</v>
      </c>
      <c r="DD196" s="3">
        <f t="shared" si="460"/>
        <v>-7235</v>
      </c>
      <c r="DE196" s="3">
        <f t="shared" si="460"/>
        <v>-8998</v>
      </c>
      <c r="DF196" s="3">
        <f t="shared" si="460"/>
        <v>-3242</v>
      </c>
      <c r="DG196" s="3">
        <f t="shared" si="460"/>
        <v>-17035</v>
      </c>
      <c r="DH196" s="3">
        <f t="shared" si="460"/>
        <v>-79961</v>
      </c>
      <c r="DI196" s="3">
        <f t="shared" si="460"/>
        <v>-749</v>
      </c>
      <c r="DJ196" s="3">
        <f t="shared" si="460"/>
        <v>-6278</v>
      </c>
      <c r="DK196" s="3">
        <f t="shared" si="460"/>
        <v>-6121</v>
      </c>
      <c r="DL196" s="3">
        <f t="shared" si="461"/>
        <v>173</v>
      </c>
      <c r="DM196" s="3">
        <f t="shared" si="461"/>
        <v>299</v>
      </c>
      <c r="DN196" s="3">
        <f t="shared" si="461"/>
        <v>366</v>
      </c>
      <c r="DO196" s="3">
        <f t="shared" si="461"/>
        <v>25</v>
      </c>
      <c r="DP196" s="3">
        <f t="shared" si="461"/>
        <v>204</v>
      </c>
      <c r="DQ196" s="3">
        <f t="shared" si="461"/>
        <v>203</v>
      </c>
      <c r="DR196" s="3">
        <f t="shared" si="461"/>
        <v>30</v>
      </c>
      <c r="DS196" s="3">
        <f t="shared" si="461"/>
        <v>41</v>
      </c>
      <c r="DT196" s="3">
        <f t="shared" si="461"/>
        <v>46</v>
      </c>
      <c r="DU196" s="3">
        <f t="shared" si="461"/>
        <v>-9</v>
      </c>
      <c r="DV196" s="3">
        <f t="shared" si="462"/>
        <v>-7</v>
      </c>
      <c r="DW196" s="3">
        <f t="shared" si="462"/>
        <v>12973</v>
      </c>
      <c r="DX196" s="3">
        <f t="shared" si="462"/>
        <v>-1312</v>
      </c>
      <c r="DY196" s="3">
        <f t="shared" si="462"/>
        <v>-6211</v>
      </c>
      <c r="DZ196" s="3">
        <f t="shared" si="462"/>
        <v>-9358</v>
      </c>
      <c r="EA196" s="3">
        <f t="shared" si="462"/>
        <v>1600</v>
      </c>
      <c r="EB196" s="3">
        <f t="shared" si="462"/>
        <v>1523</v>
      </c>
      <c r="EC196" s="3">
        <f t="shared" si="462"/>
        <v>-40156</v>
      </c>
      <c r="ED196" s="3">
        <f t="shared" si="462"/>
        <v>-280</v>
      </c>
      <c r="EE196" s="3">
        <f t="shared" si="462"/>
        <v>6964</v>
      </c>
      <c r="EF196" s="3">
        <f t="shared" si="463"/>
        <v>13534</v>
      </c>
      <c r="EG196" s="3">
        <f t="shared" si="463"/>
        <v>-328</v>
      </c>
      <c r="EH196" s="3">
        <f t="shared" si="463"/>
        <v>-325</v>
      </c>
      <c r="EI196" s="3">
        <f t="shared" si="463"/>
        <v>5411</v>
      </c>
      <c r="EJ196" s="3">
        <f t="shared" si="463"/>
        <v>1426</v>
      </c>
      <c r="EK196" s="3">
        <f t="shared" si="463"/>
        <v>2178</v>
      </c>
      <c r="EL196" s="3">
        <f t="shared" si="463"/>
        <v>2167</v>
      </c>
    </row>
    <row r="197" spans="2:142" x14ac:dyDescent="0.3">
      <c r="B197" s="14"/>
      <c r="C197" s="132"/>
      <c r="D197" s="20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</row>
    <row r="198" spans="2:142" ht="14.4" thickBot="1" x14ac:dyDescent="0.35">
      <c r="B198" s="8" t="s">
        <v>25</v>
      </c>
      <c r="C198" s="8" t="s">
        <v>499</v>
      </c>
      <c r="D198" s="198" t="str">
        <f>IF(Menu!$D$12="PT",'Dados Financeiros'!B198,'Dados Financeiros'!C198)</f>
        <v>Disponibilidades líquidas (aplicadas nas) geradas pelas atividades de financiamentos</v>
      </c>
      <c r="E198" s="7">
        <f t="shared" ref="E198:AJ198" si="464">SUM(E188:E196)</f>
        <v>502614</v>
      </c>
      <c r="F198" s="7">
        <f t="shared" si="464"/>
        <v>-9730</v>
      </c>
      <c r="G198" s="7">
        <f t="shared" si="464"/>
        <v>9345</v>
      </c>
      <c r="H198" s="7">
        <f t="shared" si="464"/>
        <v>10770</v>
      </c>
      <c r="I198" s="7">
        <f t="shared" si="464"/>
        <v>105586</v>
      </c>
      <c r="J198" s="7">
        <f t="shared" si="464"/>
        <v>53952</v>
      </c>
      <c r="K198" s="7">
        <f t="shared" si="464"/>
        <v>43380</v>
      </c>
      <c r="L198" s="7">
        <f t="shared" si="464"/>
        <v>13082</v>
      </c>
      <c r="M198" s="7">
        <f t="shared" si="464"/>
        <v>65762</v>
      </c>
      <c r="N198" s="7">
        <f t="shared" si="464"/>
        <v>33096</v>
      </c>
      <c r="O198" s="7">
        <f t="shared" si="464"/>
        <v>44894</v>
      </c>
      <c r="P198" s="7">
        <f t="shared" si="464"/>
        <v>429508</v>
      </c>
      <c r="Q198" s="7">
        <f t="shared" si="464"/>
        <v>31269</v>
      </c>
      <c r="R198" s="7">
        <f t="shared" si="464"/>
        <v>14951</v>
      </c>
      <c r="S198" s="7">
        <f t="shared" si="464"/>
        <v>173723</v>
      </c>
      <c r="T198" s="7">
        <f t="shared" si="464"/>
        <v>35389</v>
      </c>
      <c r="U198" s="7">
        <f t="shared" si="464"/>
        <v>365662</v>
      </c>
      <c r="V198" s="7">
        <f t="shared" si="464"/>
        <v>-288713</v>
      </c>
      <c r="W198" s="7">
        <f t="shared" si="464"/>
        <v>193997</v>
      </c>
      <c r="X198" s="7">
        <f t="shared" si="464"/>
        <v>-39022</v>
      </c>
      <c r="Y198" s="7">
        <f t="shared" si="464"/>
        <v>24433</v>
      </c>
      <c r="Z198" s="7">
        <f t="shared" si="464"/>
        <v>49287</v>
      </c>
      <c r="AA198" s="7">
        <f t="shared" si="464"/>
        <v>12270</v>
      </c>
      <c r="AB198" s="7">
        <f t="shared" si="464"/>
        <v>31096</v>
      </c>
      <c r="AC198" s="7">
        <f t="shared" si="464"/>
        <v>38181</v>
      </c>
      <c r="AD198" s="7">
        <f t="shared" si="464"/>
        <v>70228</v>
      </c>
      <c r="AE198" s="7">
        <f t="shared" si="464"/>
        <v>74492</v>
      </c>
      <c r="AF198" s="7">
        <f t="shared" si="464"/>
        <v>59543</v>
      </c>
      <c r="AG198" s="7">
        <f t="shared" si="464"/>
        <v>205824</v>
      </c>
      <c r="AH198" s="7">
        <f t="shared" si="464"/>
        <v>87723</v>
      </c>
      <c r="AI198" s="7">
        <f t="shared" si="464"/>
        <v>-9459</v>
      </c>
      <c r="AJ198" s="7">
        <f t="shared" si="464"/>
        <v>-83379</v>
      </c>
      <c r="AK198" s="7">
        <f t="shared" ref="AK198:BM198" si="465">SUM(AK188:AK196)</f>
        <v>156924</v>
      </c>
      <c r="AL198" s="7">
        <f t="shared" si="465"/>
        <v>52038</v>
      </c>
      <c r="AM198" s="7">
        <f t="shared" si="465"/>
        <v>-159318</v>
      </c>
      <c r="AN198" s="7">
        <f t="shared" si="465"/>
        <v>-127347</v>
      </c>
      <c r="AO198" s="7">
        <f t="shared" si="465"/>
        <v>21032</v>
      </c>
      <c r="AP198" s="7">
        <f t="shared" si="465"/>
        <v>-114731</v>
      </c>
      <c r="AQ198" s="7">
        <f t="shared" si="465"/>
        <v>-146061</v>
      </c>
      <c r="AR198" s="7">
        <f t="shared" si="465"/>
        <v>-328125</v>
      </c>
      <c r="AS198" s="7">
        <f t="shared" si="465"/>
        <v>-29972</v>
      </c>
      <c r="AT198" s="7">
        <f t="shared" si="465"/>
        <v>-411</v>
      </c>
      <c r="AU198" s="7">
        <f t="shared" si="465"/>
        <v>17728</v>
      </c>
      <c r="AV198" s="7">
        <f t="shared" si="465"/>
        <v>-110166</v>
      </c>
      <c r="AW198" s="7">
        <f t="shared" si="465"/>
        <v>-104340</v>
      </c>
      <c r="AX198" s="7">
        <f t="shared" si="465"/>
        <v>-50915</v>
      </c>
      <c r="AY198" s="7">
        <f t="shared" si="465"/>
        <v>-25980</v>
      </c>
      <c r="AZ198" s="7">
        <f t="shared" si="465"/>
        <v>-33148</v>
      </c>
      <c r="BA198" s="7">
        <f t="shared" si="465"/>
        <v>-48906</v>
      </c>
      <c r="BB198" s="7">
        <f t="shared" si="465"/>
        <v>11769</v>
      </c>
      <c r="BC198" s="7">
        <f t="shared" si="465"/>
        <v>-45972</v>
      </c>
      <c r="BD198" s="7">
        <f t="shared" si="465"/>
        <v>-16831</v>
      </c>
      <c r="BE198" s="7">
        <f t="shared" si="465"/>
        <v>-54941</v>
      </c>
      <c r="BF198" s="7">
        <f t="shared" si="465"/>
        <v>-27359</v>
      </c>
      <c r="BG198" s="7">
        <f t="shared" si="465"/>
        <v>300133</v>
      </c>
      <c r="BH198" s="7">
        <f t="shared" si="465"/>
        <v>-40362</v>
      </c>
      <c r="BI198" s="7">
        <f t="shared" si="465"/>
        <v>-44024</v>
      </c>
      <c r="BJ198" s="7">
        <f t="shared" si="465"/>
        <v>31276</v>
      </c>
      <c r="BK198" s="7">
        <f t="shared" si="465"/>
        <v>101248</v>
      </c>
      <c r="BL198" s="7">
        <f t="shared" si="465"/>
        <v>94785</v>
      </c>
      <c r="BM198" s="7">
        <f t="shared" si="465"/>
        <v>32171</v>
      </c>
      <c r="BN198" s="7">
        <f t="shared" ref="BN198" si="466">SUM(BN188:BN196)</f>
        <v>-24112</v>
      </c>
      <c r="BO198" s="7">
        <v>1593</v>
      </c>
      <c r="BP198" s="7">
        <f t="shared" ref="BP198:BV198" si="467">SUM(BP188:BP196)</f>
        <v>-10955</v>
      </c>
      <c r="BQ198" s="7">
        <f t="shared" si="467"/>
        <v>7558</v>
      </c>
      <c r="BR198" s="7">
        <f t="shared" si="467"/>
        <v>-10975</v>
      </c>
      <c r="BS198" s="7">
        <f t="shared" si="467"/>
        <v>-1176</v>
      </c>
      <c r="BT198" s="7">
        <f t="shared" si="467"/>
        <v>26573</v>
      </c>
      <c r="BU198" s="7">
        <f t="shared" si="467"/>
        <v>3123</v>
      </c>
      <c r="BV198" s="7">
        <f t="shared" si="467"/>
        <v>-2548</v>
      </c>
      <c r="BW198" s="7">
        <f t="shared" ref="BW198:BX198" si="468">SUM(BW188:BW196)</f>
        <v>52103</v>
      </c>
      <c r="BX198" s="7">
        <f t="shared" si="468"/>
        <v>13106</v>
      </c>
      <c r="BY198" s="7">
        <f t="shared" ref="BY198:BZ198" si="469">SUM(BY188:BY196)</f>
        <v>36592</v>
      </c>
      <c r="BZ198" s="7">
        <f t="shared" si="469"/>
        <v>-6893</v>
      </c>
      <c r="CA198" s="7">
        <f t="shared" ref="CA198:CB198" si="470">SUM(CA188:CA196)</f>
        <v>-53189</v>
      </c>
      <c r="CB198" s="7">
        <f t="shared" si="470"/>
        <v>-27216</v>
      </c>
      <c r="CC198" s="7">
        <f t="shared" ref="CC198:CD198" si="471">SUM(CC188:CC196)</f>
        <v>-88100</v>
      </c>
      <c r="CD198" s="7">
        <f t="shared" si="471"/>
        <v>-24831</v>
      </c>
      <c r="CE198" s="7">
        <f t="shared" ref="CE198:CF198" si="472">SUM(CE188:CE196)</f>
        <v>-12770</v>
      </c>
      <c r="CF198" s="7">
        <f t="shared" si="472"/>
        <v>150355</v>
      </c>
      <c r="CH198" s="7">
        <f t="shared" ref="CH198:DU198" si="473">SUM(CH188:CH196)</f>
        <v>492884</v>
      </c>
      <c r="CI198" s="7">
        <f t="shared" si="473"/>
        <v>502229</v>
      </c>
      <c r="CJ198" s="7">
        <f t="shared" si="473"/>
        <v>512999</v>
      </c>
      <c r="CK198" s="7">
        <f t="shared" si="473"/>
        <v>159538</v>
      </c>
      <c r="CL198" s="7">
        <f t="shared" si="473"/>
        <v>202918</v>
      </c>
      <c r="CM198" s="7">
        <f t="shared" si="473"/>
        <v>216000</v>
      </c>
      <c r="CN198" s="7">
        <f t="shared" si="473"/>
        <v>98858</v>
      </c>
      <c r="CO198" s="7">
        <f t="shared" si="473"/>
        <v>143752</v>
      </c>
      <c r="CP198" s="7">
        <f t="shared" si="473"/>
        <v>573260</v>
      </c>
      <c r="CQ198" s="7">
        <f t="shared" si="473"/>
        <v>46220</v>
      </c>
      <c r="CR198" s="7">
        <f t="shared" si="473"/>
        <v>219943</v>
      </c>
      <c r="CS198" s="7">
        <f t="shared" si="473"/>
        <v>255332</v>
      </c>
      <c r="CT198" s="7">
        <f t="shared" si="473"/>
        <v>76949</v>
      </c>
      <c r="CU198" s="7">
        <f t="shared" si="473"/>
        <v>270946</v>
      </c>
      <c r="CV198" s="7">
        <f t="shared" si="473"/>
        <v>231924</v>
      </c>
      <c r="CW198" s="7">
        <f t="shared" si="473"/>
        <v>80383</v>
      </c>
      <c r="CX198" s="7">
        <f t="shared" si="473"/>
        <v>150611</v>
      </c>
      <c r="CY198" s="7">
        <f t="shared" si="473"/>
        <v>210154</v>
      </c>
      <c r="CZ198" s="7">
        <f t="shared" si="473"/>
        <v>293547</v>
      </c>
      <c r="DA198" s="7">
        <f t="shared" si="473"/>
        <v>284088</v>
      </c>
      <c r="DB198" s="7">
        <f>SUM(DB188:DB196)</f>
        <v>200709</v>
      </c>
      <c r="DC198" s="7">
        <f t="shared" si="473"/>
        <v>208962</v>
      </c>
      <c r="DD198" s="7">
        <f t="shared" si="473"/>
        <v>49644</v>
      </c>
      <c r="DE198" s="7">
        <f t="shared" si="473"/>
        <v>-77703</v>
      </c>
      <c r="DF198" s="7">
        <f t="shared" si="473"/>
        <v>-93699</v>
      </c>
      <c r="DG198" s="7">
        <f t="shared" si="473"/>
        <v>-239760</v>
      </c>
      <c r="DH198" s="7">
        <f t="shared" si="473"/>
        <v>-567885</v>
      </c>
      <c r="DI198" s="7">
        <f t="shared" si="473"/>
        <v>-30383</v>
      </c>
      <c r="DJ198" s="7">
        <f t="shared" si="473"/>
        <v>-12655</v>
      </c>
      <c r="DK198" s="7">
        <f t="shared" si="473"/>
        <v>-122821</v>
      </c>
      <c r="DL198" s="7">
        <f t="shared" si="473"/>
        <v>-155255</v>
      </c>
      <c r="DM198" s="7">
        <f t="shared" si="473"/>
        <v>-181235</v>
      </c>
      <c r="DN198" s="7">
        <f t="shared" si="473"/>
        <v>-214383</v>
      </c>
      <c r="DO198" s="7">
        <f t="shared" si="473"/>
        <v>-37137</v>
      </c>
      <c r="DP198" s="7">
        <f t="shared" si="473"/>
        <v>-83109</v>
      </c>
      <c r="DQ198" s="7">
        <f t="shared" si="473"/>
        <v>-99940</v>
      </c>
      <c r="DR198" s="7">
        <f t="shared" si="473"/>
        <v>-82300</v>
      </c>
      <c r="DS198" s="7">
        <f t="shared" si="473"/>
        <v>217833</v>
      </c>
      <c r="DT198" s="7">
        <f t="shared" si="473"/>
        <v>177471</v>
      </c>
      <c r="DU198" s="7">
        <f t="shared" si="473"/>
        <v>-12748</v>
      </c>
      <c r="DV198" s="7">
        <f t="shared" ref="DV198:DX198" si="474">SUM(DV188:DV196)</f>
        <v>88500</v>
      </c>
      <c r="DW198" s="7">
        <f t="shared" si="474"/>
        <v>183285</v>
      </c>
      <c r="DX198" s="7">
        <f t="shared" si="474"/>
        <v>8059</v>
      </c>
      <c r="DY198" s="7">
        <f t="shared" ref="DY198:EB198" si="475">SUM(DY188:DY196)</f>
        <v>9652</v>
      </c>
      <c r="DZ198" s="7">
        <f t="shared" si="475"/>
        <v>-1303</v>
      </c>
      <c r="EA198" s="7">
        <f t="shared" si="475"/>
        <v>-3417</v>
      </c>
      <c r="EB198" s="7">
        <f t="shared" si="475"/>
        <v>-4593</v>
      </c>
      <c r="EC198" s="7">
        <f t="shared" ref="EC198:EF198" si="476">SUM(EC188:EC196)</f>
        <v>21980</v>
      </c>
      <c r="ED198" s="7">
        <f t="shared" si="476"/>
        <v>575</v>
      </c>
      <c r="EE198" s="7">
        <f t="shared" si="476"/>
        <v>52678</v>
      </c>
      <c r="EF198" s="7">
        <f t="shared" si="476"/>
        <v>65784</v>
      </c>
      <c r="EG198" s="7">
        <f t="shared" ref="EG198:EH198" si="477">SUM(EG188:EG196)</f>
        <v>29699</v>
      </c>
      <c r="EH198" s="7">
        <f t="shared" si="477"/>
        <v>-23490</v>
      </c>
      <c r="EI198" s="7">
        <f t="shared" ref="EI198:EK198" si="478">SUM(EI188:EI196)</f>
        <v>-50706</v>
      </c>
      <c r="EJ198" s="7">
        <f t="shared" si="478"/>
        <v>-112931</v>
      </c>
      <c r="EK198" s="7">
        <f t="shared" si="478"/>
        <v>-125701</v>
      </c>
      <c r="EL198" s="7">
        <f t="shared" ref="EL198" si="479">SUM(EL188:EL196)</f>
        <v>24654</v>
      </c>
    </row>
    <row r="199" spans="2:142" x14ac:dyDescent="0.3">
      <c r="B199" s="12"/>
      <c r="C199" s="12"/>
      <c r="D199" s="185">
        <f>IF(Menu!$D$12="PT",'Dados Financeiros'!B199,'Dados Financeiros'!C199)</f>
        <v>0</v>
      </c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</row>
    <row r="200" spans="2:142" ht="14.4" thickBot="1" x14ac:dyDescent="0.35">
      <c r="B200" s="8" t="s">
        <v>24</v>
      </c>
      <c r="C200" s="8" t="s">
        <v>500</v>
      </c>
      <c r="D200" s="198" t="str">
        <f>IF(Menu!$D$12="PT",'Dados Financeiros'!B200,'Dados Financeiros'!C200)</f>
        <v>(Redução) aumento nas disponibilidades</v>
      </c>
      <c r="E200" s="7">
        <f t="shared" ref="E200:AJ200" si="480">E169+E184+E198</f>
        <v>408850</v>
      </c>
      <c r="F200" s="7">
        <f t="shared" si="480"/>
        <v>-208185</v>
      </c>
      <c r="G200" s="7">
        <f t="shared" si="480"/>
        <v>-65341</v>
      </c>
      <c r="H200" s="7">
        <f t="shared" si="480"/>
        <v>-97212</v>
      </c>
      <c r="I200" s="7">
        <f t="shared" si="480"/>
        <v>40353</v>
      </c>
      <c r="J200" s="7">
        <f t="shared" si="480"/>
        <v>22143</v>
      </c>
      <c r="K200" s="7">
        <f t="shared" si="480"/>
        <v>2714</v>
      </c>
      <c r="L200" s="7">
        <f t="shared" si="480"/>
        <v>-65199</v>
      </c>
      <c r="M200" s="7">
        <f t="shared" si="480"/>
        <v>41091</v>
      </c>
      <c r="N200" s="7">
        <f t="shared" si="480"/>
        <v>-28796</v>
      </c>
      <c r="O200" s="7">
        <f t="shared" si="480"/>
        <v>-24491</v>
      </c>
      <c r="P200" s="7">
        <f t="shared" si="480"/>
        <v>351051</v>
      </c>
      <c r="Q200" s="7">
        <f t="shared" si="480"/>
        <v>-44978</v>
      </c>
      <c r="R200" s="7">
        <f t="shared" si="480"/>
        <v>-36415</v>
      </c>
      <c r="S200" s="7">
        <f t="shared" si="480"/>
        <v>66492</v>
      </c>
      <c r="T200" s="7">
        <f t="shared" si="480"/>
        <v>-116892</v>
      </c>
      <c r="U200" s="7">
        <f t="shared" si="480"/>
        <v>292164</v>
      </c>
      <c r="V200" s="7">
        <f t="shared" si="480"/>
        <v>-250498</v>
      </c>
      <c r="W200" s="7">
        <f t="shared" si="480"/>
        <v>144383</v>
      </c>
      <c r="X200" s="7">
        <f t="shared" si="480"/>
        <v>-49706</v>
      </c>
      <c r="Y200" s="7">
        <f t="shared" si="480"/>
        <v>-18454</v>
      </c>
      <c r="Z200" s="7">
        <f t="shared" si="480"/>
        <v>-26915</v>
      </c>
      <c r="AA200" s="7">
        <f t="shared" si="480"/>
        <v>-20375</v>
      </c>
      <c r="AB200" s="7">
        <f t="shared" si="480"/>
        <v>-33233</v>
      </c>
      <c r="AC200" s="7">
        <f t="shared" si="480"/>
        <v>-56521</v>
      </c>
      <c r="AD200" s="7">
        <f t="shared" si="480"/>
        <v>-59801</v>
      </c>
      <c r="AE200" s="7">
        <f t="shared" si="480"/>
        <v>-141075</v>
      </c>
      <c r="AF200" s="7">
        <f t="shared" si="480"/>
        <v>-161746</v>
      </c>
      <c r="AG200" s="7">
        <f t="shared" si="480"/>
        <v>191081</v>
      </c>
      <c r="AH200" s="7">
        <f t="shared" si="480"/>
        <v>126088</v>
      </c>
      <c r="AI200" s="7">
        <f t="shared" si="480"/>
        <v>-80895</v>
      </c>
      <c r="AJ200" s="7">
        <f t="shared" si="480"/>
        <v>3596</v>
      </c>
      <c r="AK200" s="7">
        <f t="shared" ref="AK200:BM200" si="481">AK169+AK184+AK198</f>
        <v>-24549</v>
      </c>
      <c r="AL200" s="7">
        <f t="shared" si="481"/>
        <v>97305</v>
      </c>
      <c r="AM200" s="7">
        <f t="shared" si="481"/>
        <v>-161715</v>
      </c>
      <c r="AN200" s="7">
        <f t="shared" si="481"/>
        <v>5656</v>
      </c>
      <c r="AO200" s="7">
        <f t="shared" si="481"/>
        <v>113441</v>
      </c>
      <c r="AP200" s="7">
        <f t="shared" si="481"/>
        <v>-52146</v>
      </c>
      <c r="AQ200" s="7">
        <f t="shared" si="481"/>
        <v>-144231</v>
      </c>
      <c r="AR200" s="7">
        <f t="shared" si="481"/>
        <v>-69869</v>
      </c>
      <c r="AS200" s="7">
        <f t="shared" si="481"/>
        <v>-55169</v>
      </c>
      <c r="AT200" s="7">
        <f t="shared" si="481"/>
        <v>-27008</v>
      </c>
      <c r="AU200" s="7">
        <f t="shared" si="481"/>
        <v>22331</v>
      </c>
      <c r="AV200" s="7">
        <f t="shared" si="481"/>
        <v>-27063</v>
      </c>
      <c r="AW200" s="7">
        <f t="shared" si="481"/>
        <v>-1816</v>
      </c>
      <c r="AX200" s="7">
        <f t="shared" si="481"/>
        <v>12907</v>
      </c>
      <c r="AY200" s="7">
        <f t="shared" si="481"/>
        <v>11295</v>
      </c>
      <c r="AZ200" s="7">
        <f t="shared" si="481"/>
        <v>-24249</v>
      </c>
      <c r="BA200" s="7">
        <f t="shared" si="481"/>
        <v>919</v>
      </c>
      <c r="BB200" s="7">
        <f t="shared" si="481"/>
        <v>-564</v>
      </c>
      <c r="BC200" s="7">
        <f t="shared" si="481"/>
        <v>1975</v>
      </c>
      <c r="BD200" s="7">
        <f t="shared" si="481"/>
        <v>1952</v>
      </c>
      <c r="BE200" s="7">
        <f t="shared" si="481"/>
        <v>-8471</v>
      </c>
      <c r="BF200" s="7">
        <f t="shared" si="481"/>
        <v>-1796</v>
      </c>
      <c r="BG200" s="7">
        <f t="shared" si="481"/>
        <v>227643</v>
      </c>
      <c r="BH200" s="7">
        <f t="shared" si="481"/>
        <v>20007</v>
      </c>
      <c r="BI200" s="7">
        <f t="shared" si="481"/>
        <v>-55501</v>
      </c>
      <c r="BJ200" s="7">
        <f t="shared" si="481"/>
        <v>24603</v>
      </c>
      <c r="BK200" s="7">
        <f t="shared" si="481"/>
        <v>-59456</v>
      </c>
      <c r="BL200" s="7">
        <f t="shared" si="481"/>
        <v>-59752</v>
      </c>
      <c r="BM200" s="7">
        <f t="shared" si="481"/>
        <v>19326</v>
      </c>
      <c r="BN200" s="7">
        <f t="shared" ref="BN200" si="482">BN169+BN184+BN198</f>
        <v>-30926</v>
      </c>
      <c r="BO200" s="7">
        <v>23283.5</v>
      </c>
      <c r="BP200" s="7">
        <f t="shared" ref="BP200:BV200" si="483">BP169+BP184+BP198</f>
        <v>-9633.489999999998</v>
      </c>
      <c r="BQ200" s="7">
        <f t="shared" si="483"/>
        <v>22898</v>
      </c>
      <c r="BR200" s="7">
        <f t="shared" si="483"/>
        <v>-28095</v>
      </c>
      <c r="BS200" s="7">
        <f t="shared" si="483"/>
        <v>-9684</v>
      </c>
      <c r="BT200" s="7">
        <f t="shared" si="483"/>
        <v>24680</v>
      </c>
      <c r="BU200" s="7">
        <f t="shared" si="483"/>
        <v>54356</v>
      </c>
      <c r="BV200" s="7">
        <f t="shared" si="483"/>
        <v>-24807</v>
      </c>
      <c r="BW200" s="7">
        <f t="shared" ref="BW200:BX200" si="484">BW169+BW184+BW198</f>
        <v>207</v>
      </c>
      <c r="BX200" s="7">
        <f t="shared" si="484"/>
        <v>-59553</v>
      </c>
      <c r="BY200" s="7">
        <f t="shared" ref="BY200:BZ200" si="485">BY169+BY184+BY198</f>
        <v>92466</v>
      </c>
      <c r="BZ200" s="7">
        <f t="shared" si="485"/>
        <v>2637</v>
      </c>
      <c r="CA200" s="7">
        <f t="shared" ref="CA200:CB200" si="486">CA169+CA184+CA198</f>
        <v>-30171</v>
      </c>
      <c r="CB200" s="7">
        <f t="shared" si="486"/>
        <v>-17975.999999999985</v>
      </c>
      <c r="CC200" s="7">
        <f t="shared" ref="CC200:CD200" si="487">CC169+CC184+CC198</f>
        <v>-9202</v>
      </c>
      <c r="CD200" s="7">
        <f t="shared" si="487"/>
        <v>-56518</v>
      </c>
      <c r="CE200" s="7">
        <f t="shared" ref="CE200:CF200" si="488">CE169+CE184+CE198</f>
        <v>-22721</v>
      </c>
      <c r="CF200" s="7">
        <f t="shared" si="488"/>
        <v>157128</v>
      </c>
      <c r="CH200" s="7">
        <f t="shared" ref="CH200:DV200" si="489">CH169+CH184+CH198</f>
        <v>200665</v>
      </c>
      <c r="CI200" s="7">
        <f t="shared" si="489"/>
        <v>135324</v>
      </c>
      <c r="CJ200" s="7">
        <f t="shared" si="489"/>
        <v>38112</v>
      </c>
      <c r="CK200" s="7">
        <f t="shared" si="489"/>
        <v>62496</v>
      </c>
      <c r="CL200" s="7">
        <f t="shared" si="489"/>
        <v>65210</v>
      </c>
      <c r="CM200" s="7">
        <f t="shared" si="489"/>
        <v>11</v>
      </c>
      <c r="CN200" s="7">
        <f t="shared" si="489"/>
        <v>12295</v>
      </c>
      <c r="CO200" s="7">
        <f t="shared" si="489"/>
        <v>-12196</v>
      </c>
      <c r="CP200" s="7">
        <f t="shared" si="489"/>
        <v>338855</v>
      </c>
      <c r="CQ200" s="7">
        <f t="shared" si="489"/>
        <v>-81393</v>
      </c>
      <c r="CR200" s="7">
        <f t="shared" si="489"/>
        <v>-14901</v>
      </c>
      <c r="CS200" s="7">
        <f t="shared" si="489"/>
        <v>-131793</v>
      </c>
      <c r="CT200" s="7">
        <f t="shared" si="489"/>
        <v>41666</v>
      </c>
      <c r="CU200" s="7">
        <f t="shared" si="489"/>
        <v>186049</v>
      </c>
      <c r="CV200" s="7">
        <f t="shared" si="489"/>
        <v>136343</v>
      </c>
      <c r="CW200" s="7">
        <f t="shared" si="489"/>
        <v>-60148</v>
      </c>
      <c r="CX200" s="7">
        <f t="shared" si="489"/>
        <v>-119949</v>
      </c>
      <c r="CY200" s="7">
        <f t="shared" si="489"/>
        <v>-281695</v>
      </c>
      <c r="CZ200" s="7">
        <f t="shared" si="489"/>
        <v>317169</v>
      </c>
      <c r="DA200" s="7">
        <f t="shared" si="489"/>
        <v>236274</v>
      </c>
      <c r="DB200" s="7">
        <f>DB169+DB184+DB198</f>
        <v>239870</v>
      </c>
      <c r="DC200" s="7">
        <f t="shared" si="489"/>
        <v>72756</v>
      </c>
      <c r="DD200" s="7">
        <f t="shared" si="489"/>
        <v>-88959</v>
      </c>
      <c r="DE200" s="7">
        <f t="shared" si="489"/>
        <v>-83303</v>
      </c>
      <c r="DF200" s="7">
        <f t="shared" si="489"/>
        <v>61295</v>
      </c>
      <c r="DG200" s="7">
        <f t="shared" si="489"/>
        <v>-82936</v>
      </c>
      <c r="DH200" s="7">
        <f t="shared" si="489"/>
        <v>-152805</v>
      </c>
      <c r="DI200" s="7">
        <f t="shared" si="489"/>
        <v>-82177</v>
      </c>
      <c r="DJ200" s="7">
        <f t="shared" si="489"/>
        <v>-59846</v>
      </c>
      <c r="DK200" s="7">
        <f t="shared" si="489"/>
        <v>-86909</v>
      </c>
      <c r="DL200" s="7">
        <f t="shared" si="489"/>
        <v>11091</v>
      </c>
      <c r="DM200" s="7">
        <f t="shared" si="489"/>
        <v>22386</v>
      </c>
      <c r="DN200" s="7">
        <f t="shared" si="489"/>
        <v>-1863</v>
      </c>
      <c r="DO200" s="7">
        <f t="shared" si="489"/>
        <v>355</v>
      </c>
      <c r="DP200" s="7">
        <f t="shared" si="489"/>
        <v>2330</v>
      </c>
      <c r="DQ200" s="7">
        <f t="shared" si="489"/>
        <v>4282</v>
      </c>
      <c r="DR200" s="7">
        <f t="shared" si="489"/>
        <v>-10267</v>
      </c>
      <c r="DS200" s="7">
        <f t="shared" si="489"/>
        <v>217376</v>
      </c>
      <c r="DT200" s="7">
        <f t="shared" si="489"/>
        <v>237383</v>
      </c>
      <c r="DU200" s="7">
        <f t="shared" si="489"/>
        <v>-30898</v>
      </c>
      <c r="DV200" s="7">
        <f t="shared" si="489"/>
        <v>-90354</v>
      </c>
      <c r="DW200" s="7">
        <f t="shared" ref="DW200:DX200" si="490">DW169+DW184+DW198</f>
        <v>-150106</v>
      </c>
      <c r="DX200" s="7">
        <f t="shared" si="490"/>
        <v>-11600</v>
      </c>
      <c r="DY200" s="7">
        <f t="shared" ref="DY200:EB200" si="491">DY169+DY184+DY198</f>
        <v>11683.5</v>
      </c>
      <c r="DZ200" s="7">
        <f t="shared" si="491"/>
        <v>2050.0100000000093</v>
      </c>
      <c r="EA200" s="7">
        <f t="shared" si="491"/>
        <v>-5197</v>
      </c>
      <c r="EB200" s="7">
        <f t="shared" si="491"/>
        <v>-14881</v>
      </c>
      <c r="EC200" s="7">
        <f t="shared" ref="EC200:EF200" si="492">EC169+EC184+EC198</f>
        <v>9799</v>
      </c>
      <c r="ED200" s="7">
        <f t="shared" si="492"/>
        <v>29549</v>
      </c>
      <c r="EE200" s="7">
        <f t="shared" si="492"/>
        <v>29756</v>
      </c>
      <c r="EF200" s="7">
        <f t="shared" si="492"/>
        <v>-42540</v>
      </c>
      <c r="EG200" s="7">
        <f t="shared" ref="EG200:EH200" si="493">EG169+EG184+EG198</f>
        <v>95104</v>
      </c>
      <c r="EH200" s="7">
        <f t="shared" si="493"/>
        <v>64933</v>
      </c>
      <c r="EI200" s="7">
        <f t="shared" ref="EI200:EK200" si="494">EI169+EI184+EI198</f>
        <v>46957</v>
      </c>
      <c r="EJ200" s="7">
        <f t="shared" si="494"/>
        <v>-65720</v>
      </c>
      <c r="EK200" s="7">
        <f t="shared" si="494"/>
        <v>-88441</v>
      </c>
      <c r="EL200" s="7">
        <f t="shared" ref="EL200" si="495">EL169+EL184+EL198</f>
        <v>68687</v>
      </c>
    </row>
    <row r="201" spans="2:142" x14ac:dyDescent="0.3">
      <c r="B201" s="10"/>
      <c r="C201" s="10"/>
      <c r="D201" s="205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</row>
    <row r="202" spans="2:142" ht="30.75" customHeight="1" thickBot="1" x14ac:dyDescent="0.35">
      <c r="B202" s="8" t="s">
        <v>23</v>
      </c>
      <c r="C202" s="8" t="s">
        <v>501</v>
      </c>
      <c r="D202" s="198" t="str">
        <f>IF(Menu!$D$12="PT",'Dados Financeiros'!B202,'Dados Financeiros'!C202)</f>
        <v>Demonstração do aumento (redução) nas disponibilidades e aplicações financeiras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</row>
    <row r="203" spans="2:142" x14ac:dyDescent="0.3">
      <c r="B203" s="129" t="s">
        <v>22</v>
      </c>
      <c r="C203" s="129" t="s">
        <v>502</v>
      </c>
      <c r="D203" s="183" t="str">
        <f>IF(Menu!$D$12="PT",'Dados Financeiros'!B203,'Dados Financeiros'!C203)</f>
        <v>No início do período</v>
      </c>
      <c r="E203" s="4">
        <v>19998</v>
      </c>
      <c r="F203" s="4">
        <v>428848</v>
      </c>
      <c r="G203" s="4">
        <v>221829</v>
      </c>
      <c r="H203" s="4">
        <v>156488</v>
      </c>
      <c r="I203" s="4">
        <v>71051</v>
      </c>
      <c r="J203" s="4">
        <v>111404</v>
      </c>
      <c r="K203" s="4">
        <v>133547</v>
      </c>
      <c r="L203" s="4">
        <v>136261</v>
      </c>
      <c r="M203" s="4">
        <v>71062</v>
      </c>
      <c r="N203" s="4">
        <v>112153</v>
      </c>
      <c r="O203" s="4">
        <v>83357</v>
      </c>
      <c r="P203" s="4">
        <v>58866</v>
      </c>
      <c r="Q203" s="4">
        <v>409917</v>
      </c>
      <c r="R203" s="4">
        <v>364939</v>
      </c>
      <c r="S203" s="4">
        <v>328524</v>
      </c>
      <c r="T203" s="4">
        <v>395016</v>
      </c>
      <c r="U203" s="4">
        <v>278124</v>
      </c>
      <c r="V203" s="4">
        <v>570288</v>
      </c>
      <c r="W203" s="4">
        <v>319790</v>
      </c>
      <c r="X203" s="4">
        <v>464173</v>
      </c>
      <c r="Y203" s="4">
        <f>X204</f>
        <v>414467</v>
      </c>
      <c r="Z203" s="4">
        <v>376959</v>
      </c>
      <c r="AA203" s="4">
        <f t="shared" ref="AA203:AF203" si="496">Y204</f>
        <v>396013</v>
      </c>
      <c r="AB203" s="4">
        <f t="shared" si="496"/>
        <v>350044</v>
      </c>
      <c r="AC203" s="4">
        <f t="shared" si="496"/>
        <v>375638</v>
      </c>
      <c r="AD203" s="4">
        <f t="shared" si="496"/>
        <v>316811</v>
      </c>
      <c r="AE203" s="4">
        <f t="shared" si="496"/>
        <v>319117</v>
      </c>
      <c r="AF203" s="4">
        <f t="shared" si="496"/>
        <v>257010</v>
      </c>
      <c r="AG203" s="4">
        <f t="shared" ref="AG203:AW203" si="497">AF204</f>
        <v>95264</v>
      </c>
      <c r="AH203" s="4">
        <f t="shared" si="497"/>
        <v>286345</v>
      </c>
      <c r="AI203" s="4">
        <f t="shared" si="497"/>
        <v>412433</v>
      </c>
      <c r="AJ203" s="4">
        <f t="shared" si="497"/>
        <v>331538</v>
      </c>
      <c r="AK203" s="4">
        <f t="shared" si="497"/>
        <v>335134</v>
      </c>
      <c r="AL203" s="4">
        <f t="shared" si="497"/>
        <v>310585</v>
      </c>
      <c r="AM203" s="4">
        <f t="shared" si="497"/>
        <v>407890</v>
      </c>
      <c r="AN203" s="4">
        <f t="shared" si="497"/>
        <v>246175</v>
      </c>
      <c r="AO203" s="4">
        <f t="shared" si="497"/>
        <v>251831</v>
      </c>
      <c r="AP203" s="4">
        <f t="shared" si="497"/>
        <v>365272</v>
      </c>
      <c r="AQ203" s="4">
        <f t="shared" si="497"/>
        <v>313126</v>
      </c>
      <c r="AR203" s="4">
        <f t="shared" si="497"/>
        <v>168896</v>
      </c>
      <c r="AS203" s="4">
        <f t="shared" si="497"/>
        <v>99026</v>
      </c>
      <c r="AT203" s="4">
        <f t="shared" si="497"/>
        <v>43857</v>
      </c>
      <c r="AU203" s="4">
        <f t="shared" si="497"/>
        <v>16849</v>
      </c>
      <c r="AV203" s="4">
        <f t="shared" si="497"/>
        <v>39180</v>
      </c>
      <c r="AW203" s="4">
        <f t="shared" si="497"/>
        <v>12117</v>
      </c>
      <c r="AX203" s="4">
        <f t="shared" ref="AX203" si="498">AW204</f>
        <v>10300</v>
      </c>
      <c r="AY203" s="4">
        <f t="shared" ref="AY203" si="499">AX204</f>
        <v>23208</v>
      </c>
      <c r="AZ203" s="4">
        <f t="shared" ref="AZ203" si="500">AY204</f>
        <v>34503</v>
      </c>
      <c r="BA203" s="4">
        <f t="shared" ref="BA203" si="501">AZ204</f>
        <v>10254</v>
      </c>
      <c r="BB203" s="4">
        <f t="shared" ref="BB203" si="502">BA204</f>
        <v>11173</v>
      </c>
      <c r="BC203" s="4">
        <f t="shared" ref="BC203:BH203" si="503">BB204</f>
        <v>10609</v>
      </c>
      <c r="BD203" s="4">
        <f t="shared" si="503"/>
        <v>12584</v>
      </c>
      <c r="BE203" s="4">
        <f t="shared" si="503"/>
        <v>14536</v>
      </c>
      <c r="BF203" s="4">
        <f t="shared" si="503"/>
        <v>6065</v>
      </c>
      <c r="BG203" s="4">
        <f t="shared" si="503"/>
        <v>4269</v>
      </c>
      <c r="BH203" s="4">
        <f t="shared" si="503"/>
        <v>231912</v>
      </c>
      <c r="BI203" s="4">
        <f t="shared" ref="BI203" si="504">BH204</f>
        <v>251919</v>
      </c>
      <c r="BJ203" s="4">
        <f t="shared" ref="BJ203" si="505">BI204</f>
        <v>196418</v>
      </c>
      <c r="BK203" s="4">
        <f t="shared" ref="BK203" si="506">BJ204</f>
        <v>221021</v>
      </c>
      <c r="BL203" s="4">
        <f t="shared" ref="BL203" si="507">BK204</f>
        <v>161565</v>
      </c>
      <c r="BM203" s="4">
        <f t="shared" ref="BM203" si="508">BL204</f>
        <v>101813</v>
      </c>
      <c r="BN203" s="4">
        <f t="shared" ref="BN203" si="509">BM204</f>
        <v>121139</v>
      </c>
      <c r="BO203" s="4">
        <f t="shared" ref="BO203" si="510">BN204</f>
        <v>90213</v>
      </c>
      <c r="BP203" s="4">
        <f t="shared" ref="BP203" si="511">BO204</f>
        <v>113496</v>
      </c>
      <c r="BQ203" s="4">
        <f t="shared" ref="BQ203" si="512">BP204</f>
        <v>103863</v>
      </c>
      <c r="BR203" s="4">
        <f t="shared" ref="BR203" si="513">BQ204</f>
        <v>126761</v>
      </c>
      <c r="BS203" s="4">
        <f t="shared" ref="BS203" si="514">BR204</f>
        <v>98666</v>
      </c>
      <c r="BT203" s="4">
        <f t="shared" ref="BT203" si="515">BS204</f>
        <v>88982</v>
      </c>
      <c r="BU203" s="4">
        <f t="shared" ref="BU203:BY203" si="516">BT204</f>
        <v>113662</v>
      </c>
      <c r="BV203" s="4">
        <f t="shared" si="516"/>
        <v>168018</v>
      </c>
      <c r="BW203" s="4">
        <f t="shared" si="516"/>
        <v>143211</v>
      </c>
      <c r="BX203" s="4">
        <f t="shared" si="516"/>
        <v>143418</v>
      </c>
      <c r="BY203" s="4">
        <f t="shared" si="516"/>
        <v>83865</v>
      </c>
      <c r="BZ203" s="4">
        <f t="shared" ref="BZ203:CF203" si="517">BY204</f>
        <v>176331</v>
      </c>
      <c r="CA203" s="4">
        <f t="shared" si="517"/>
        <v>178968</v>
      </c>
      <c r="CB203" s="4">
        <f t="shared" si="517"/>
        <v>148797</v>
      </c>
      <c r="CC203" s="4">
        <f t="shared" si="517"/>
        <v>130821</v>
      </c>
      <c r="CD203" s="4">
        <f t="shared" si="517"/>
        <v>121619</v>
      </c>
      <c r="CE203" s="4">
        <f t="shared" si="517"/>
        <v>65101</v>
      </c>
      <c r="CF203" s="4">
        <f t="shared" si="517"/>
        <v>42380</v>
      </c>
      <c r="CH203" s="94">
        <f t="shared" ref="CH203:DM203" ca="1" si="518">INDIRECT(ADDRESS(ROW(),MATCH("1T"&amp;RIGHT(CH$2,2),$A$2:$CG$2,0)))</f>
        <v>19998</v>
      </c>
      <c r="CI203" s="94">
        <f t="shared" ca="1" si="518"/>
        <v>19998</v>
      </c>
      <c r="CJ203" s="94">
        <f t="shared" ca="1" si="518"/>
        <v>19998</v>
      </c>
      <c r="CK203" s="94">
        <f t="shared" ca="1" si="518"/>
        <v>71051</v>
      </c>
      <c r="CL203" s="94">
        <f t="shared" ca="1" si="518"/>
        <v>71051</v>
      </c>
      <c r="CM203" s="94">
        <f t="shared" ca="1" si="518"/>
        <v>71051</v>
      </c>
      <c r="CN203" s="94">
        <f t="shared" ca="1" si="518"/>
        <v>71062</v>
      </c>
      <c r="CO203" s="94">
        <f t="shared" ca="1" si="518"/>
        <v>71062</v>
      </c>
      <c r="CP203" s="94">
        <f t="shared" ca="1" si="518"/>
        <v>71062</v>
      </c>
      <c r="CQ203" s="94">
        <f t="shared" ca="1" si="518"/>
        <v>409917</v>
      </c>
      <c r="CR203" s="94">
        <f t="shared" ca="1" si="518"/>
        <v>409917</v>
      </c>
      <c r="CS203" s="94">
        <f t="shared" ca="1" si="518"/>
        <v>409917</v>
      </c>
      <c r="CT203" s="94">
        <f t="shared" ca="1" si="518"/>
        <v>278124</v>
      </c>
      <c r="CU203" s="94">
        <f t="shared" ca="1" si="518"/>
        <v>278124</v>
      </c>
      <c r="CV203" s="94">
        <f t="shared" ca="1" si="518"/>
        <v>278124</v>
      </c>
      <c r="CW203" s="94">
        <f t="shared" ca="1" si="518"/>
        <v>376959</v>
      </c>
      <c r="CX203" s="94">
        <f t="shared" ca="1" si="518"/>
        <v>376959</v>
      </c>
      <c r="CY203" s="94">
        <f t="shared" ca="1" si="518"/>
        <v>376959</v>
      </c>
      <c r="CZ203" s="94">
        <f t="shared" ca="1" si="518"/>
        <v>95264</v>
      </c>
      <c r="DA203" s="94">
        <f t="shared" ca="1" si="518"/>
        <v>95264</v>
      </c>
      <c r="DB203" s="94">
        <f t="shared" ca="1" si="518"/>
        <v>95264</v>
      </c>
      <c r="DC203" s="94">
        <f t="shared" ca="1" si="518"/>
        <v>335134</v>
      </c>
      <c r="DD203" s="94">
        <f t="shared" ca="1" si="518"/>
        <v>335134</v>
      </c>
      <c r="DE203" s="94">
        <f t="shared" ca="1" si="518"/>
        <v>335134</v>
      </c>
      <c r="DF203" s="94">
        <f t="shared" ca="1" si="518"/>
        <v>251831</v>
      </c>
      <c r="DG203" s="94">
        <f t="shared" ca="1" si="518"/>
        <v>251831</v>
      </c>
      <c r="DH203" s="94">
        <f t="shared" ca="1" si="518"/>
        <v>251831</v>
      </c>
      <c r="DI203" s="94">
        <f t="shared" ca="1" si="518"/>
        <v>99026</v>
      </c>
      <c r="DJ203" s="94">
        <f t="shared" ca="1" si="518"/>
        <v>99026</v>
      </c>
      <c r="DK203" s="94">
        <f t="shared" ca="1" si="518"/>
        <v>99026</v>
      </c>
      <c r="DL203" s="94">
        <f t="shared" ca="1" si="518"/>
        <v>12117</v>
      </c>
      <c r="DM203" s="94">
        <f t="shared" ca="1" si="518"/>
        <v>12117</v>
      </c>
      <c r="DN203" s="94">
        <f t="shared" ref="DN203:EL203" ca="1" si="519">INDIRECT(ADDRESS(ROW(),MATCH("1T"&amp;RIGHT(DN$2,2),$A$2:$CG$2,0)))</f>
        <v>12117</v>
      </c>
      <c r="DO203" s="94">
        <f t="shared" ca="1" si="519"/>
        <v>10254</v>
      </c>
      <c r="DP203" s="94">
        <f t="shared" ca="1" si="519"/>
        <v>10254</v>
      </c>
      <c r="DQ203" s="94">
        <f t="shared" ca="1" si="519"/>
        <v>10254</v>
      </c>
      <c r="DR203" s="94">
        <f t="shared" ca="1" si="519"/>
        <v>14536</v>
      </c>
      <c r="DS203" s="94">
        <f t="shared" ca="1" si="519"/>
        <v>14536</v>
      </c>
      <c r="DT203" s="94">
        <f t="shared" ca="1" si="519"/>
        <v>14536</v>
      </c>
      <c r="DU203" s="94">
        <f t="shared" ca="1" si="519"/>
        <v>251919</v>
      </c>
      <c r="DV203" s="94">
        <f t="shared" ca="1" si="519"/>
        <v>251919</v>
      </c>
      <c r="DW203" s="94">
        <f t="shared" ca="1" si="519"/>
        <v>251919</v>
      </c>
      <c r="DX203" s="94">
        <f t="shared" ca="1" si="519"/>
        <v>101813</v>
      </c>
      <c r="DY203" s="94">
        <f t="shared" ca="1" si="519"/>
        <v>101813</v>
      </c>
      <c r="DZ203" s="94">
        <f t="shared" ca="1" si="519"/>
        <v>101813</v>
      </c>
      <c r="EA203" s="94">
        <f t="shared" ca="1" si="519"/>
        <v>103863</v>
      </c>
      <c r="EB203" s="94">
        <f t="shared" ca="1" si="519"/>
        <v>103863</v>
      </c>
      <c r="EC203" s="94">
        <f t="shared" ca="1" si="519"/>
        <v>103863</v>
      </c>
      <c r="ED203" s="94">
        <f t="shared" ca="1" si="519"/>
        <v>113662</v>
      </c>
      <c r="EE203" s="94">
        <f t="shared" ca="1" si="519"/>
        <v>113662</v>
      </c>
      <c r="EF203" s="94">
        <f t="shared" ca="1" si="519"/>
        <v>113662</v>
      </c>
      <c r="EG203" s="94">
        <f t="shared" ca="1" si="519"/>
        <v>83865</v>
      </c>
      <c r="EH203" s="94">
        <f t="shared" ca="1" si="519"/>
        <v>83865</v>
      </c>
      <c r="EI203" s="94">
        <f t="shared" ca="1" si="519"/>
        <v>83865</v>
      </c>
      <c r="EJ203" s="94">
        <f t="shared" ca="1" si="519"/>
        <v>130821</v>
      </c>
      <c r="EK203" s="94">
        <f t="shared" ca="1" si="519"/>
        <v>130821</v>
      </c>
      <c r="EL203" s="94">
        <f t="shared" ca="1" si="519"/>
        <v>130821</v>
      </c>
    </row>
    <row r="204" spans="2:142" x14ac:dyDescent="0.3">
      <c r="B204" s="129" t="s">
        <v>21</v>
      </c>
      <c r="C204" s="129" t="s">
        <v>503</v>
      </c>
      <c r="D204" s="183" t="str">
        <f>IF(Menu!$D$12="PT",'Dados Financeiros'!B204,'Dados Financeiros'!C204)</f>
        <v>No fim do período</v>
      </c>
      <c r="E204" s="4">
        <v>428848</v>
      </c>
      <c r="F204" s="4">
        <v>221829</v>
      </c>
      <c r="G204" s="4">
        <v>156488</v>
      </c>
      <c r="H204" s="4">
        <v>71051</v>
      </c>
      <c r="I204" s="4">
        <v>111404</v>
      </c>
      <c r="J204" s="4">
        <v>133547</v>
      </c>
      <c r="K204" s="4">
        <v>136261</v>
      </c>
      <c r="L204" s="4">
        <v>71062</v>
      </c>
      <c r="M204" s="4">
        <v>112153</v>
      </c>
      <c r="N204" s="4">
        <v>83357</v>
      </c>
      <c r="O204" s="4">
        <v>58866</v>
      </c>
      <c r="P204" s="4">
        <v>409917</v>
      </c>
      <c r="Q204" s="4">
        <v>364939</v>
      </c>
      <c r="R204" s="4">
        <v>328524</v>
      </c>
      <c r="S204" s="4">
        <v>395016</v>
      </c>
      <c r="T204" s="4">
        <f>T10</f>
        <v>278124</v>
      </c>
      <c r="U204" s="4">
        <f>U10</f>
        <v>570288</v>
      </c>
      <c r="V204" s="4">
        <v>319790</v>
      </c>
      <c r="W204" s="4">
        <f t="shared" ref="W204:BB204" si="520">W10</f>
        <v>464173</v>
      </c>
      <c r="X204" s="4">
        <f t="shared" si="520"/>
        <v>414467</v>
      </c>
      <c r="Y204" s="4">
        <f t="shared" si="520"/>
        <v>396013</v>
      </c>
      <c r="Z204" s="4">
        <f t="shared" si="520"/>
        <v>350044</v>
      </c>
      <c r="AA204" s="4">
        <f t="shared" si="520"/>
        <v>375638</v>
      </c>
      <c r="AB204" s="4">
        <f t="shared" si="520"/>
        <v>316811</v>
      </c>
      <c r="AC204" s="4">
        <f t="shared" si="520"/>
        <v>319117</v>
      </c>
      <c r="AD204" s="4">
        <f t="shared" si="520"/>
        <v>257010</v>
      </c>
      <c r="AE204" s="4">
        <f t="shared" si="520"/>
        <v>178042</v>
      </c>
      <c r="AF204" s="4">
        <f t="shared" si="520"/>
        <v>95264</v>
      </c>
      <c r="AG204" s="4">
        <f t="shared" si="520"/>
        <v>286345</v>
      </c>
      <c r="AH204" s="4">
        <f t="shared" si="520"/>
        <v>412433</v>
      </c>
      <c r="AI204" s="4">
        <f t="shared" si="520"/>
        <v>331538</v>
      </c>
      <c r="AJ204" s="4">
        <f t="shared" si="520"/>
        <v>335134</v>
      </c>
      <c r="AK204" s="4">
        <f t="shared" si="520"/>
        <v>310585</v>
      </c>
      <c r="AL204" s="4">
        <f t="shared" si="520"/>
        <v>407890</v>
      </c>
      <c r="AM204" s="4">
        <f t="shared" si="520"/>
        <v>246175</v>
      </c>
      <c r="AN204" s="4">
        <f t="shared" si="520"/>
        <v>251831</v>
      </c>
      <c r="AO204" s="4">
        <f t="shared" si="520"/>
        <v>365272</v>
      </c>
      <c r="AP204" s="4">
        <f t="shared" si="520"/>
        <v>313126</v>
      </c>
      <c r="AQ204" s="4">
        <f t="shared" si="520"/>
        <v>168896</v>
      </c>
      <c r="AR204" s="4">
        <f t="shared" si="520"/>
        <v>99026</v>
      </c>
      <c r="AS204" s="4">
        <f t="shared" si="520"/>
        <v>43857</v>
      </c>
      <c r="AT204" s="4">
        <f t="shared" si="520"/>
        <v>16849</v>
      </c>
      <c r="AU204" s="4">
        <f t="shared" si="520"/>
        <v>39180</v>
      </c>
      <c r="AV204" s="4">
        <f t="shared" si="520"/>
        <v>12117</v>
      </c>
      <c r="AW204" s="4">
        <f t="shared" si="520"/>
        <v>10300</v>
      </c>
      <c r="AX204" s="4">
        <f t="shared" si="520"/>
        <v>23208</v>
      </c>
      <c r="AY204" s="4">
        <f t="shared" si="520"/>
        <v>34503</v>
      </c>
      <c r="AZ204" s="4">
        <f t="shared" si="520"/>
        <v>10254</v>
      </c>
      <c r="BA204" s="4">
        <f t="shared" si="520"/>
        <v>11173</v>
      </c>
      <c r="BB204" s="4">
        <f t="shared" si="520"/>
        <v>10609</v>
      </c>
      <c r="BC204" s="4">
        <f t="shared" ref="BC204:BZ204" si="521">BC10</f>
        <v>12584</v>
      </c>
      <c r="BD204" s="4">
        <f t="shared" si="521"/>
        <v>14536</v>
      </c>
      <c r="BE204" s="4">
        <f t="shared" si="521"/>
        <v>6065</v>
      </c>
      <c r="BF204" s="4">
        <f t="shared" si="521"/>
        <v>4269</v>
      </c>
      <c r="BG204" s="4">
        <f t="shared" si="521"/>
        <v>231912</v>
      </c>
      <c r="BH204" s="4">
        <f t="shared" si="521"/>
        <v>251919</v>
      </c>
      <c r="BI204" s="4">
        <f t="shared" si="521"/>
        <v>196418</v>
      </c>
      <c r="BJ204" s="4">
        <f t="shared" si="521"/>
        <v>221021</v>
      </c>
      <c r="BK204" s="4">
        <f t="shared" si="521"/>
        <v>161565</v>
      </c>
      <c r="BL204" s="4">
        <f t="shared" si="521"/>
        <v>101813</v>
      </c>
      <c r="BM204" s="4">
        <f t="shared" si="521"/>
        <v>121139</v>
      </c>
      <c r="BN204" s="4">
        <f t="shared" si="521"/>
        <v>90213</v>
      </c>
      <c r="BO204" s="4">
        <f t="shared" si="521"/>
        <v>113496</v>
      </c>
      <c r="BP204" s="4">
        <f t="shared" si="521"/>
        <v>103863</v>
      </c>
      <c r="BQ204" s="4">
        <f t="shared" si="521"/>
        <v>126761</v>
      </c>
      <c r="BR204" s="4">
        <f t="shared" si="521"/>
        <v>98666</v>
      </c>
      <c r="BS204" s="4">
        <f t="shared" si="521"/>
        <v>88982</v>
      </c>
      <c r="BT204" s="4">
        <f t="shared" si="521"/>
        <v>113662</v>
      </c>
      <c r="BU204" s="4">
        <f t="shared" si="521"/>
        <v>168018</v>
      </c>
      <c r="BV204" s="4">
        <f t="shared" si="521"/>
        <v>143211</v>
      </c>
      <c r="BW204" s="4">
        <f t="shared" si="521"/>
        <v>143418</v>
      </c>
      <c r="BX204" s="4">
        <f t="shared" si="521"/>
        <v>83865</v>
      </c>
      <c r="BY204" s="4">
        <f t="shared" si="521"/>
        <v>176331</v>
      </c>
      <c r="BZ204" s="4">
        <f t="shared" si="521"/>
        <v>178968</v>
      </c>
      <c r="CA204" s="4">
        <f t="shared" ref="CA204" si="522">CA10</f>
        <v>148797</v>
      </c>
      <c r="CB204" s="4">
        <f t="shared" ref="CB204:CC204" si="523">CB10</f>
        <v>130821</v>
      </c>
      <c r="CC204" s="4">
        <f t="shared" si="523"/>
        <v>121619</v>
      </c>
      <c r="CD204" s="4">
        <f t="shared" ref="CD204:CE204" si="524">CD10</f>
        <v>65101</v>
      </c>
      <c r="CE204" s="4">
        <f t="shared" si="524"/>
        <v>42380</v>
      </c>
      <c r="CF204" s="4">
        <f t="shared" ref="CF204" si="525">CF10</f>
        <v>199508</v>
      </c>
      <c r="CG204" s="33"/>
      <c r="CH204" s="94">
        <f t="shared" ref="CH204:DM204" ca="1" si="526">INDIRECT(ADDRESS(ROW(),MATCH(IF(LEFT(CH$2,2)="1S","2T",IF(LEFT(CH$2,2)="9M","3T","4T"))&amp;RIGHT(CH$2,2),$A$2:$CG$2,0)))</f>
        <v>221829</v>
      </c>
      <c r="CI204" s="94">
        <f t="shared" ca="1" si="526"/>
        <v>156488</v>
      </c>
      <c r="CJ204" s="94">
        <f t="shared" ca="1" si="526"/>
        <v>71051</v>
      </c>
      <c r="CK204" s="94">
        <f t="shared" ca="1" si="526"/>
        <v>133547</v>
      </c>
      <c r="CL204" s="94">
        <f t="shared" ca="1" si="526"/>
        <v>136261</v>
      </c>
      <c r="CM204" s="94">
        <f t="shared" ca="1" si="526"/>
        <v>71062</v>
      </c>
      <c r="CN204" s="94">
        <f t="shared" ca="1" si="526"/>
        <v>83357</v>
      </c>
      <c r="CO204" s="94">
        <f t="shared" ca="1" si="526"/>
        <v>58866</v>
      </c>
      <c r="CP204" s="94">
        <f t="shared" ca="1" si="526"/>
        <v>409917</v>
      </c>
      <c r="CQ204" s="94">
        <f t="shared" ca="1" si="526"/>
        <v>328524</v>
      </c>
      <c r="CR204" s="94">
        <f t="shared" ca="1" si="526"/>
        <v>395016</v>
      </c>
      <c r="CS204" s="94">
        <f t="shared" ca="1" si="526"/>
        <v>278124</v>
      </c>
      <c r="CT204" s="94">
        <f t="shared" ca="1" si="526"/>
        <v>319790</v>
      </c>
      <c r="CU204" s="94">
        <f t="shared" ca="1" si="526"/>
        <v>464173</v>
      </c>
      <c r="CV204" s="94">
        <f t="shared" ca="1" si="526"/>
        <v>414467</v>
      </c>
      <c r="CW204" s="94">
        <f t="shared" ca="1" si="526"/>
        <v>316811</v>
      </c>
      <c r="CX204" s="94">
        <f t="shared" ca="1" si="526"/>
        <v>257010</v>
      </c>
      <c r="CY204" s="94">
        <f t="shared" ca="1" si="526"/>
        <v>95264</v>
      </c>
      <c r="CZ204" s="94">
        <f t="shared" ca="1" si="526"/>
        <v>412433</v>
      </c>
      <c r="DA204" s="94">
        <f t="shared" ca="1" si="526"/>
        <v>331538</v>
      </c>
      <c r="DB204" s="94">
        <f t="shared" ca="1" si="526"/>
        <v>335134</v>
      </c>
      <c r="DC204" s="94">
        <f t="shared" ca="1" si="526"/>
        <v>407890</v>
      </c>
      <c r="DD204" s="94">
        <f t="shared" ca="1" si="526"/>
        <v>246175</v>
      </c>
      <c r="DE204" s="94">
        <f t="shared" ca="1" si="526"/>
        <v>251831</v>
      </c>
      <c r="DF204" s="94">
        <f t="shared" ca="1" si="526"/>
        <v>313126</v>
      </c>
      <c r="DG204" s="94">
        <f t="shared" ca="1" si="526"/>
        <v>168896</v>
      </c>
      <c r="DH204" s="94">
        <f t="shared" ca="1" si="526"/>
        <v>99026</v>
      </c>
      <c r="DI204" s="94">
        <f t="shared" ca="1" si="526"/>
        <v>16849</v>
      </c>
      <c r="DJ204" s="94">
        <f t="shared" ca="1" si="526"/>
        <v>39180</v>
      </c>
      <c r="DK204" s="94">
        <f t="shared" ca="1" si="526"/>
        <v>12117</v>
      </c>
      <c r="DL204" s="94">
        <f t="shared" ca="1" si="526"/>
        <v>23208</v>
      </c>
      <c r="DM204" s="94">
        <f t="shared" ca="1" si="526"/>
        <v>34503</v>
      </c>
      <c r="DN204" s="94">
        <f t="shared" ref="DN204:EL204" ca="1" si="527">INDIRECT(ADDRESS(ROW(),MATCH(IF(LEFT(DN$2,2)="1S","2T",IF(LEFT(DN$2,2)="9M","3T","4T"))&amp;RIGHT(DN$2,2),$A$2:$CG$2,0)))</f>
        <v>10254</v>
      </c>
      <c r="DO204" s="94">
        <f t="shared" ca="1" si="527"/>
        <v>10609</v>
      </c>
      <c r="DP204" s="94">
        <f t="shared" ca="1" si="527"/>
        <v>12584</v>
      </c>
      <c r="DQ204" s="94">
        <f t="shared" ca="1" si="527"/>
        <v>14536</v>
      </c>
      <c r="DR204" s="94">
        <f t="shared" ca="1" si="527"/>
        <v>4269</v>
      </c>
      <c r="DS204" s="94">
        <f t="shared" ca="1" si="527"/>
        <v>231912</v>
      </c>
      <c r="DT204" s="94">
        <f t="shared" ca="1" si="527"/>
        <v>251919</v>
      </c>
      <c r="DU204" s="94">
        <f t="shared" ca="1" si="527"/>
        <v>221021</v>
      </c>
      <c r="DV204" s="94">
        <f t="shared" ca="1" si="527"/>
        <v>161565</v>
      </c>
      <c r="DW204" s="94">
        <f t="shared" ca="1" si="527"/>
        <v>101813</v>
      </c>
      <c r="DX204" s="94">
        <f t="shared" ca="1" si="527"/>
        <v>90213</v>
      </c>
      <c r="DY204" s="94">
        <f t="shared" ca="1" si="527"/>
        <v>113496</v>
      </c>
      <c r="DZ204" s="94">
        <f t="shared" ca="1" si="527"/>
        <v>103863</v>
      </c>
      <c r="EA204" s="94">
        <f t="shared" ca="1" si="527"/>
        <v>98666</v>
      </c>
      <c r="EB204" s="94">
        <f t="shared" ca="1" si="527"/>
        <v>88982</v>
      </c>
      <c r="EC204" s="94">
        <f t="shared" ca="1" si="527"/>
        <v>113662</v>
      </c>
      <c r="ED204" s="94">
        <f t="shared" ca="1" si="527"/>
        <v>143211</v>
      </c>
      <c r="EE204" s="94">
        <f t="shared" ca="1" si="527"/>
        <v>143418</v>
      </c>
      <c r="EF204" s="94">
        <f t="shared" ca="1" si="527"/>
        <v>83865</v>
      </c>
      <c r="EG204" s="94">
        <f t="shared" ca="1" si="527"/>
        <v>178968</v>
      </c>
      <c r="EH204" s="94">
        <f t="shared" ca="1" si="527"/>
        <v>148797</v>
      </c>
      <c r="EI204" s="94">
        <f t="shared" ca="1" si="527"/>
        <v>130821</v>
      </c>
      <c r="EJ204" s="94">
        <f t="shared" ca="1" si="527"/>
        <v>65101</v>
      </c>
      <c r="EK204" s="94">
        <f t="shared" ca="1" si="527"/>
        <v>42380</v>
      </c>
      <c r="EL204" s="94">
        <f t="shared" ca="1" si="527"/>
        <v>199508</v>
      </c>
    </row>
    <row r="205" spans="2:142" ht="14.4" thickBot="1" x14ac:dyDescent="0.35">
      <c r="B205" s="130" t="s">
        <v>20</v>
      </c>
      <c r="C205" s="130" t="s">
        <v>504</v>
      </c>
      <c r="D205" s="200" t="str">
        <f>IF(Menu!$D$12="PT",'Dados Financeiros'!B205,'Dados Financeiros'!C205)</f>
        <v>(Redução) aumento nas disponibilidades e aplicações financeiras</v>
      </c>
      <c r="E205" s="3">
        <f>E204-E203</f>
        <v>408850</v>
      </c>
      <c r="F205" s="3">
        <f>F204-F203</f>
        <v>-207019</v>
      </c>
      <c r="G205" s="3">
        <f>G204-G203</f>
        <v>-65341</v>
      </c>
      <c r="H205" s="3">
        <f>H204-H203</f>
        <v>-85437</v>
      </c>
      <c r="I205" s="3">
        <f>I204-I203</f>
        <v>40353</v>
      </c>
      <c r="J205" s="3">
        <f t="shared" ref="J205:W205" si="528">J204-J203</f>
        <v>22143</v>
      </c>
      <c r="K205" s="3">
        <f t="shared" si="528"/>
        <v>2714</v>
      </c>
      <c r="L205" s="3">
        <f t="shared" si="528"/>
        <v>-65199</v>
      </c>
      <c r="M205" s="3">
        <f t="shared" si="528"/>
        <v>41091</v>
      </c>
      <c r="N205" s="3">
        <f t="shared" si="528"/>
        <v>-28796</v>
      </c>
      <c r="O205" s="3">
        <f t="shared" si="528"/>
        <v>-24491</v>
      </c>
      <c r="P205" s="3">
        <f t="shared" si="528"/>
        <v>351051</v>
      </c>
      <c r="Q205" s="3">
        <f t="shared" si="528"/>
        <v>-44978</v>
      </c>
      <c r="R205" s="3">
        <f t="shared" si="528"/>
        <v>-36415</v>
      </c>
      <c r="S205" s="3">
        <f t="shared" si="528"/>
        <v>66492</v>
      </c>
      <c r="T205" s="3">
        <f t="shared" si="528"/>
        <v>-116892</v>
      </c>
      <c r="U205" s="3">
        <f t="shared" si="528"/>
        <v>292164</v>
      </c>
      <c r="V205" s="3">
        <f t="shared" si="528"/>
        <v>-250498</v>
      </c>
      <c r="W205" s="3">
        <f t="shared" si="528"/>
        <v>144383</v>
      </c>
      <c r="X205" s="3">
        <f>X204-X203</f>
        <v>-49706</v>
      </c>
      <c r="Y205" s="3">
        <f>Y204-Y203</f>
        <v>-18454</v>
      </c>
      <c r="Z205" s="3">
        <f>Z204-Z203</f>
        <v>-26915</v>
      </c>
      <c r="AA205" s="3">
        <f>AA204-AA203</f>
        <v>-20375</v>
      </c>
      <c r="AB205" s="3">
        <f t="shared" ref="AB205:AG205" si="529">AB204-AB203</f>
        <v>-33233</v>
      </c>
      <c r="AC205" s="3">
        <f t="shared" si="529"/>
        <v>-56521</v>
      </c>
      <c r="AD205" s="3">
        <f>AD204-AD203</f>
        <v>-59801</v>
      </c>
      <c r="AE205" s="3">
        <f>AE204-AE203</f>
        <v>-141075</v>
      </c>
      <c r="AF205" s="3">
        <f t="shared" si="529"/>
        <v>-161746</v>
      </c>
      <c r="AG205" s="3">
        <f t="shared" si="529"/>
        <v>191081</v>
      </c>
      <c r="AH205" s="3">
        <f>AH204-AH203</f>
        <v>126088</v>
      </c>
      <c r="AI205" s="3">
        <f>AI204-AI203</f>
        <v>-80895</v>
      </c>
      <c r="AJ205" s="3">
        <f>AJ204-AJ203</f>
        <v>3596</v>
      </c>
      <c r="AK205" s="3">
        <f t="shared" ref="AK205:AP205" si="530">AK204-AK203</f>
        <v>-24549</v>
      </c>
      <c r="AL205" s="3">
        <f t="shared" si="530"/>
        <v>97305</v>
      </c>
      <c r="AM205" s="3">
        <f t="shared" si="530"/>
        <v>-161715</v>
      </c>
      <c r="AN205" s="3">
        <f t="shared" si="530"/>
        <v>5656</v>
      </c>
      <c r="AO205" s="3">
        <f t="shared" si="530"/>
        <v>113441</v>
      </c>
      <c r="AP205" s="3">
        <f t="shared" si="530"/>
        <v>-52146</v>
      </c>
      <c r="AQ205" s="3">
        <f t="shared" ref="AQ205:AV205" si="531">AQ204-AQ203</f>
        <v>-144230</v>
      </c>
      <c r="AR205" s="3">
        <f t="shared" si="531"/>
        <v>-69870</v>
      </c>
      <c r="AS205" s="3">
        <f t="shared" si="531"/>
        <v>-55169</v>
      </c>
      <c r="AT205" s="3">
        <f t="shared" si="531"/>
        <v>-27008</v>
      </c>
      <c r="AU205" s="3">
        <f t="shared" si="531"/>
        <v>22331</v>
      </c>
      <c r="AV205" s="3">
        <f t="shared" si="531"/>
        <v>-27063</v>
      </c>
      <c r="AW205" s="3">
        <f t="shared" ref="AW205" si="532">AW204-AW203</f>
        <v>-1817</v>
      </c>
      <c r="AX205" s="3">
        <f t="shared" ref="AX205:AY205" si="533">AX204-AX203</f>
        <v>12908</v>
      </c>
      <c r="AY205" s="3">
        <f t="shared" si="533"/>
        <v>11295</v>
      </c>
      <c r="AZ205" s="3">
        <f t="shared" ref="AZ205" si="534">AZ204-AZ203</f>
        <v>-24249</v>
      </c>
      <c r="BA205" s="3">
        <f t="shared" ref="BA205:BC205" si="535">BA204-BA203</f>
        <v>919</v>
      </c>
      <c r="BB205" s="3">
        <f t="shared" si="535"/>
        <v>-564</v>
      </c>
      <c r="BC205" s="3">
        <f t="shared" si="535"/>
        <v>1975</v>
      </c>
      <c r="BD205" s="3">
        <f t="shared" ref="BD205:BE205" si="536">BD204-BD203</f>
        <v>1952</v>
      </c>
      <c r="BE205" s="3">
        <f t="shared" si="536"/>
        <v>-8471</v>
      </c>
      <c r="BF205" s="3">
        <f t="shared" ref="BF205:BG205" si="537">BF204-BF203</f>
        <v>-1796</v>
      </c>
      <c r="BG205" s="3">
        <f t="shared" si="537"/>
        <v>227643</v>
      </c>
      <c r="BH205" s="3">
        <f t="shared" ref="BH205" si="538">BH204-BH203</f>
        <v>20007</v>
      </c>
      <c r="BI205" s="3">
        <f t="shared" ref="BI205:BU205" si="539">BI204-BI203</f>
        <v>-55501</v>
      </c>
      <c r="BJ205" s="3">
        <f t="shared" si="539"/>
        <v>24603</v>
      </c>
      <c r="BK205" s="3">
        <f t="shared" si="539"/>
        <v>-59456</v>
      </c>
      <c r="BL205" s="3">
        <f t="shared" si="539"/>
        <v>-59752</v>
      </c>
      <c r="BM205" s="3">
        <f t="shared" si="539"/>
        <v>19326</v>
      </c>
      <c r="BN205" s="3">
        <f t="shared" si="539"/>
        <v>-30926</v>
      </c>
      <c r="BO205" s="3">
        <f t="shared" si="539"/>
        <v>23283</v>
      </c>
      <c r="BP205" s="3">
        <f t="shared" si="539"/>
        <v>-9633</v>
      </c>
      <c r="BQ205" s="3">
        <f t="shared" si="539"/>
        <v>22898</v>
      </c>
      <c r="BR205" s="3">
        <f t="shared" si="539"/>
        <v>-28095</v>
      </c>
      <c r="BS205" s="3">
        <f t="shared" si="539"/>
        <v>-9684</v>
      </c>
      <c r="BT205" s="3">
        <f t="shared" si="539"/>
        <v>24680</v>
      </c>
      <c r="BU205" s="3">
        <f t="shared" si="539"/>
        <v>54356</v>
      </c>
      <c r="BV205" s="3">
        <f t="shared" ref="BV205:BW205" si="540">BV204-BV203</f>
        <v>-24807</v>
      </c>
      <c r="BW205" s="3">
        <f t="shared" si="540"/>
        <v>207</v>
      </c>
      <c r="BX205" s="3">
        <f t="shared" ref="BX205" si="541">BX204-BX203</f>
        <v>-59553</v>
      </c>
      <c r="BY205" s="3">
        <f t="shared" ref="BY205:BZ205" si="542">BY204-BY203</f>
        <v>92466</v>
      </c>
      <c r="BZ205" s="3">
        <f t="shared" si="542"/>
        <v>2637</v>
      </c>
      <c r="CA205" s="3">
        <f t="shared" ref="CA205" si="543">CA204-CA203</f>
        <v>-30171</v>
      </c>
      <c r="CB205" s="3">
        <f t="shared" ref="CB205:CC205" si="544">CB204-CB203</f>
        <v>-17976</v>
      </c>
      <c r="CC205" s="3">
        <f t="shared" si="544"/>
        <v>-9202</v>
      </c>
      <c r="CD205" s="3">
        <f t="shared" ref="CD205:CE205" si="545">CD204-CD203</f>
        <v>-56518</v>
      </c>
      <c r="CE205" s="3">
        <f t="shared" si="545"/>
        <v>-22721</v>
      </c>
      <c r="CF205" s="3">
        <f t="shared" ref="CF205" si="546">CF204-CF203</f>
        <v>157128</v>
      </c>
      <c r="CH205" s="3">
        <f t="shared" ref="CH205:DM205" si="547">SUMIF($B$1:$CG$1,"&lt;="&amp;VALUE(RIGHT(CH$2,2)&amp;IF(LEFT(CH$2,2)="1S",2,IF(LEFT(CH$2,2)="9M",3,4))),$B205:$CG205)-
SUMIF($B$1:$CG$1,"&lt;"&amp;VALUE(RIGHT(CH$2,2))&amp;"0",$B205:$CG205)</f>
        <v>201831</v>
      </c>
      <c r="CI205" s="3">
        <f t="shared" si="547"/>
        <v>136490</v>
      </c>
      <c r="CJ205" s="3">
        <f t="shared" si="547"/>
        <v>51053</v>
      </c>
      <c r="CK205" s="3">
        <f t="shared" si="547"/>
        <v>62496</v>
      </c>
      <c r="CL205" s="3">
        <f t="shared" si="547"/>
        <v>65210</v>
      </c>
      <c r="CM205" s="3">
        <f t="shared" si="547"/>
        <v>11</v>
      </c>
      <c r="CN205" s="3">
        <f t="shared" si="547"/>
        <v>12295</v>
      </c>
      <c r="CO205" s="3">
        <f t="shared" si="547"/>
        <v>-12196</v>
      </c>
      <c r="CP205" s="3">
        <f t="shared" si="547"/>
        <v>338855</v>
      </c>
      <c r="CQ205" s="3">
        <f t="shared" si="547"/>
        <v>-81393</v>
      </c>
      <c r="CR205" s="3">
        <f t="shared" si="547"/>
        <v>-14901</v>
      </c>
      <c r="CS205" s="3">
        <f t="shared" si="547"/>
        <v>-131793</v>
      </c>
      <c r="CT205" s="3">
        <f t="shared" si="547"/>
        <v>41666</v>
      </c>
      <c r="CU205" s="3">
        <f t="shared" si="547"/>
        <v>186049</v>
      </c>
      <c r="CV205" s="3">
        <f t="shared" si="547"/>
        <v>136343</v>
      </c>
      <c r="CW205" s="3">
        <f t="shared" si="547"/>
        <v>-60148</v>
      </c>
      <c r="CX205" s="3">
        <f t="shared" si="547"/>
        <v>-119949</v>
      </c>
      <c r="CY205" s="3">
        <f t="shared" si="547"/>
        <v>-281695</v>
      </c>
      <c r="CZ205" s="3">
        <f t="shared" si="547"/>
        <v>317169</v>
      </c>
      <c r="DA205" s="3">
        <f t="shared" si="547"/>
        <v>236274</v>
      </c>
      <c r="DB205" s="3">
        <f t="shared" si="547"/>
        <v>239870</v>
      </c>
      <c r="DC205" s="3">
        <f t="shared" si="547"/>
        <v>72756</v>
      </c>
      <c r="DD205" s="3">
        <f t="shared" si="547"/>
        <v>-88959</v>
      </c>
      <c r="DE205" s="3">
        <f t="shared" si="547"/>
        <v>-83303</v>
      </c>
      <c r="DF205" s="3">
        <f t="shared" si="547"/>
        <v>61295</v>
      </c>
      <c r="DG205" s="3">
        <f t="shared" si="547"/>
        <v>-82935</v>
      </c>
      <c r="DH205" s="3">
        <f t="shared" si="547"/>
        <v>-152805</v>
      </c>
      <c r="DI205" s="3">
        <f t="shared" si="547"/>
        <v>-82177</v>
      </c>
      <c r="DJ205" s="3">
        <f t="shared" si="547"/>
        <v>-59846</v>
      </c>
      <c r="DK205" s="3">
        <f t="shared" si="547"/>
        <v>-86909</v>
      </c>
      <c r="DL205" s="3">
        <f t="shared" si="547"/>
        <v>11091</v>
      </c>
      <c r="DM205" s="3">
        <f t="shared" si="547"/>
        <v>22386</v>
      </c>
      <c r="DN205" s="3">
        <f t="shared" ref="DN205:EL205" si="548">SUMIF($B$1:$CG$1,"&lt;="&amp;VALUE(RIGHT(DN$2,2)&amp;IF(LEFT(DN$2,2)="1S",2,IF(LEFT(DN$2,2)="9M",3,4))),$B205:$CG205)-
SUMIF($B$1:$CG$1,"&lt;"&amp;VALUE(RIGHT(DN$2,2))&amp;"0",$B205:$CG205)</f>
        <v>-1863</v>
      </c>
      <c r="DO205" s="3">
        <f t="shared" si="548"/>
        <v>355</v>
      </c>
      <c r="DP205" s="3">
        <f t="shared" si="548"/>
        <v>2330</v>
      </c>
      <c r="DQ205" s="3">
        <f t="shared" si="548"/>
        <v>4282</v>
      </c>
      <c r="DR205" s="3">
        <f t="shared" si="548"/>
        <v>-10267</v>
      </c>
      <c r="DS205" s="3">
        <f t="shared" si="548"/>
        <v>217376</v>
      </c>
      <c r="DT205" s="3">
        <f t="shared" si="548"/>
        <v>237383</v>
      </c>
      <c r="DU205" s="3">
        <f t="shared" si="548"/>
        <v>-30898</v>
      </c>
      <c r="DV205" s="3">
        <f t="shared" si="548"/>
        <v>-90354</v>
      </c>
      <c r="DW205" s="3">
        <f t="shared" si="548"/>
        <v>-150106</v>
      </c>
      <c r="DX205" s="3">
        <f t="shared" si="548"/>
        <v>-11600</v>
      </c>
      <c r="DY205" s="3">
        <f t="shared" si="548"/>
        <v>11683</v>
      </c>
      <c r="DZ205" s="3">
        <f t="shared" si="548"/>
        <v>2050</v>
      </c>
      <c r="EA205" s="3">
        <f t="shared" si="548"/>
        <v>-5197</v>
      </c>
      <c r="EB205" s="3">
        <f t="shared" si="548"/>
        <v>-14881</v>
      </c>
      <c r="EC205" s="3">
        <f t="shared" si="548"/>
        <v>9799</v>
      </c>
      <c r="ED205" s="3">
        <f t="shared" si="548"/>
        <v>29549</v>
      </c>
      <c r="EE205" s="3">
        <f t="shared" si="548"/>
        <v>29756</v>
      </c>
      <c r="EF205" s="3">
        <f t="shared" si="548"/>
        <v>-29797</v>
      </c>
      <c r="EG205" s="3">
        <f t="shared" si="548"/>
        <v>95103</v>
      </c>
      <c r="EH205" s="3">
        <f t="shared" si="548"/>
        <v>64932</v>
      </c>
      <c r="EI205" s="3">
        <f t="shared" si="548"/>
        <v>46956</v>
      </c>
      <c r="EJ205" s="3">
        <f t="shared" si="548"/>
        <v>-65720</v>
      </c>
      <c r="EK205" s="3">
        <f t="shared" si="548"/>
        <v>-88441</v>
      </c>
      <c r="EL205" s="3">
        <f t="shared" si="548"/>
        <v>68687</v>
      </c>
    </row>
    <row r="206" spans="2:142" x14ac:dyDescent="0.3">
      <c r="B206" s="6"/>
      <c r="C206" s="6"/>
      <c r="D206" s="6"/>
      <c r="AM206" s="33"/>
    </row>
    <row r="207" spans="2:142" x14ac:dyDescent="0.3">
      <c r="CH207" s="33"/>
      <c r="CI207" s="33"/>
      <c r="CJ207" s="33"/>
      <c r="CK207" s="33"/>
      <c r="CL207" s="33"/>
      <c r="CM207" s="33"/>
      <c r="CN207" s="33"/>
      <c r="CO207" s="33"/>
      <c r="CP207" s="33"/>
      <c r="CQ207" s="33"/>
      <c r="CR207" s="33"/>
      <c r="CS207" s="33"/>
      <c r="CT207" s="33"/>
      <c r="CU207" s="33"/>
      <c r="CV207" s="33"/>
      <c r="CW207" s="33"/>
      <c r="CX207" s="33"/>
      <c r="CY207" s="33"/>
      <c r="CZ207" s="33"/>
      <c r="DA207" s="33"/>
      <c r="DB207" s="33"/>
      <c r="DC207" s="33"/>
      <c r="DD207" s="33"/>
      <c r="DE207" s="33"/>
      <c r="DF207" s="33"/>
      <c r="DG207" s="33"/>
      <c r="DH207" s="33"/>
      <c r="DI207" s="33"/>
      <c r="DJ207" s="33"/>
      <c r="DK207" s="33"/>
      <c r="DL207" s="33"/>
      <c r="DM207" s="33"/>
      <c r="DN207" s="33"/>
      <c r="DO207" s="33"/>
      <c r="DP207" s="33"/>
      <c r="DQ207" s="33"/>
      <c r="DR207" s="33"/>
      <c r="DS207" s="33"/>
      <c r="DT207" s="33"/>
      <c r="DU207" s="33"/>
      <c r="DV207" s="33"/>
      <c r="DW207" s="33"/>
      <c r="DX207" s="33"/>
      <c r="DY207" s="33"/>
      <c r="DZ207" s="33"/>
    </row>
  </sheetData>
  <conditionalFormatting sqref="E81:CF81">
    <cfRule type="cellIs" dxfId="1" priority="40" operator="notEqual">
      <formula>0</formula>
    </cfRule>
  </conditionalFormatting>
  <conditionalFormatting sqref="CH81:EL81">
    <cfRule type="cellIs" dxfId="0" priority="50" operator="not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landscape" horizontalDpi="4294967295" verticalDpi="4294967295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outlinePr summaryBelow="0" summaryRight="0"/>
  </sheetPr>
  <dimension ref="A1:EI41"/>
  <sheetViews>
    <sheetView showGridLines="0" tabSelected="1" zoomScale="115" zoomScaleNormal="115" workbookViewId="0">
      <pane xSplit="4" ySplit="3" topLeftCell="BS4" activePane="bottomRight" state="frozen"/>
      <selection pane="topRight" activeCell="E1" sqref="E1"/>
      <selection pane="bottomLeft" activeCell="A4" sqref="A4"/>
      <selection pane="bottomRight" activeCell="CB34" sqref="CB34"/>
    </sheetView>
  </sheetViews>
  <sheetFormatPr defaultColWidth="9.21875" defaultRowHeight="13.8" x14ac:dyDescent="0.3"/>
  <cols>
    <col min="1" max="1" width="1.77734375" style="70" customWidth="1"/>
    <col min="2" max="2" width="34.77734375" style="5" hidden="1" customWidth="1"/>
    <col min="3" max="3" width="33" style="5" hidden="1" customWidth="1"/>
    <col min="4" max="4" width="34.77734375" style="5" bestFit="1" customWidth="1"/>
    <col min="5" max="7" width="8.21875" style="5" bestFit="1" customWidth="1"/>
    <col min="8" max="31" width="9.77734375" style="5" bestFit="1" customWidth="1"/>
    <col min="32" max="32" width="9.77734375" style="69" bestFit="1" customWidth="1"/>
    <col min="33" max="33" width="9.77734375" style="75" bestFit="1" customWidth="1"/>
    <col min="34" max="48" width="9.77734375" style="69" bestFit="1" customWidth="1"/>
    <col min="49" max="52" width="8.77734375" style="69" bestFit="1" customWidth="1"/>
    <col min="53" max="53" width="8.21875" style="69" bestFit="1" customWidth="1"/>
    <col min="54" max="54" width="8.77734375" style="69" bestFit="1" customWidth="1"/>
    <col min="55" max="63" width="8.21875" style="69" bestFit="1" customWidth="1"/>
    <col min="64" max="64" width="8.77734375" style="69" bestFit="1" customWidth="1"/>
    <col min="65" max="66" width="8.21875" style="69" bestFit="1" customWidth="1"/>
    <col min="67" max="67" width="8.77734375" style="69" bestFit="1" customWidth="1"/>
    <col min="68" max="80" width="9.77734375" style="69" bestFit="1" customWidth="1"/>
    <col min="81" max="82" width="4" style="5" customWidth="1"/>
    <col min="83" max="83" width="9.77734375" style="5" bestFit="1" customWidth="1"/>
    <col min="84" max="84" width="8.21875" style="5" bestFit="1" customWidth="1"/>
    <col min="85" max="119" width="9.77734375" style="5" bestFit="1" customWidth="1"/>
    <col min="120" max="126" width="8.21875" style="5" bestFit="1" customWidth="1"/>
    <col min="127" max="139" width="9.77734375" style="5" bestFit="1" customWidth="1"/>
    <col min="140" max="16384" width="9.21875" style="5"/>
  </cols>
  <sheetData>
    <row r="1" spans="1:139" ht="63.75" customHeight="1" x14ac:dyDescent="0.3">
      <c r="E1" s="68">
        <f t="shared" ref="E1:BP1" si="0">VALUE(RIGHT(E2,2)&amp;LEFT(E2,1))</f>
        <v>71</v>
      </c>
      <c r="F1" s="68">
        <f t="shared" si="0"/>
        <v>72</v>
      </c>
      <c r="G1" s="68">
        <f t="shared" si="0"/>
        <v>73</v>
      </c>
      <c r="H1" s="68">
        <f t="shared" si="0"/>
        <v>74</v>
      </c>
      <c r="I1" s="68">
        <f t="shared" si="0"/>
        <v>81</v>
      </c>
      <c r="J1" s="68">
        <f t="shared" si="0"/>
        <v>82</v>
      </c>
      <c r="K1" s="68">
        <f t="shared" si="0"/>
        <v>83</v>
      </c>
      <c r="L1" s="68">
        <f t="shared" si="0"/>
        <v>84</v>
      </c>
      <c r="M1" s="68">
        <f t="shared" si="0"/>
        <v>91</v>
      </c>
      <c r="N1" s="68">
        <f t="shared" si="0"/>
        <v>92</v>
      </c>
      <c r="O1" s="68">
        <f t="shared" si="0"/>
        <v>93</v>
      </c>
      <c r="P1" s="68">
        <f t="shared" si="0"/>
        <v>94</v>
      </c>
      <c r="Q1" s="68">
        <f t="shared" si="0"/>
        <v>101</v>
      </c>
      <c r="R1" s="68">
        <f t="shared" si="0"/>
        <v>102</v>
      </c>
      <c r="S1" s="68">
        <f t="shared" si="0"/>
        <v>103</v>
      </c>
      <c r="T1" s="68">
        <f t="shared" si="0"/>
        <v>104</v>
      </c>
      <c r="U1" s="68">
        <f t="shared" si="0"/>
        <v>111</v>
      </c>
      <c r="V1" s="68">
        <f t="shared" si="0"/>
        <v>112</v>
      </c>
      <c r="W1" s="68">
        <f t="shared" si="0"/>
        <v>113</v>
      </c>
      <c r="X1" s="68">
        <f t="shared" si="0"/>
        <v>114</v>
      </c>
      <c r="Y1" s="68">
        <f t="shared" si="0"/>
        <v>121</v>
      </c>
      <c r="Z1" s="68">
        <f t="shared" si="0"/>
        <v>122</v>
      </c>
      <c r="AA1" s="68">
        <f t="shared" si="0"/>
        <v>123</v>
      </c>
      <c r="AB1" s="68">
        <f t="shared" si="0"/>
        <v>124</v>
      </c>
      <c r="AC1" s="68">
        <f t="shared" si="0"/>
        <v>131</v>
      </c>
      <c r="AD1" s="68">
        <f t="shared" si="0"/>
        <v>132</v>
      </c>
      <c r="AE1" s="68">
        <f t="shared" si="0"/>
        <v>133</v>
      </c>
      <c r="AF1" s="68">
        <f t="shared" si="0"/>
        <v>134</v>
      </c>
      <c r="AG1" s="68">
        <f t="shared" si="0"/>
        <v>141</v>
      </c>
      <c r="AH1" s="68">
        <f t="shared" si="0"/>
        <v>142</v>
      </c>
      <c r="AI1" s="68">
        <f t="shared" si="0"/>
        <v>143</v>
      </c>
      <c r="AJ1" s="68">
        <f t="shared" si="0"/>
        <v>144</v>
      </c>
      <c r="AK1" s="68">
        <f t="shared" si="0"/>
        <v>151</v>
      </c>
      <c r="AL1" s="68">
        <f t="shared" si="0"/>
        <v>152</v>
      </c>
      <c r="AM1" s="68">
        <f t="shared" si="0"/>
        <v>153</v>
      </c>
      <c r="AN1" s="68">
        <f t="shared" si="0"/>
        <v>154</v>
      </c>
      <c r="AO1" s="68">
        <f t="shared" si="0"/>
        <v>161</v>
      </c>
      <c r="AP1" s="68">
        <f t="shared" si="0"/>
        <v>162</v>
      </c>
      <c r="AQ1" s="68">
        <f t="shared" si="0"/>
        <v>163</v>
      </c>
      <c r="AR1" s="68">
        <f t="shared" si="0"/>
        <v>164</v>
      </c>
      <c r="AS1" s="68">
        <f t="shared" si="0"/>
        <v>171</v>
      </c>
      <c r="AT1" s="68">
        <f t="shared" si="0"/>
        <v>172</v>
      </c>
      <c r="AU1" s="68">
        <f t="shared" si="0"/>
        <v>173</v>
      </c>
      <c r="AV1" s="68">
        <f t="shared" si="0"/>
        <v>174</v>
      </c>
      <c r="AW1" s="68">
        <f t="shared" si="0"/>
        <v>181</v>
      </c>
      <c r="AX1" s="68">
        <f t="shared" si="0"/>
        <v>182</v>
      </c>
      <c r="AY1" s="68">
        <f t="shared" si="0"/>
        <v>183</v>
      </c>
      <c r="AZ1" s="68">
        <f t="shared" si="0"/>
        <v>184</v>
      </c>
      <c r="BA1" s="68">
        <f t="shared" si="0"/>
        <v>191</v>
      </c>
      <c r="BB1" s="68">
        <f t="shared" si="0"/>
        <v>192</v>
      </c>
      <c r="BC1" s="68">
        <f t="shared" si="0"/>
        <v>193</v>
      </c>
      <c r="BD1" s="68">
        <f t="shared" si="0"/>
        <v>194</v>
      </c>
      <c r="BE1" s="68">
        <f t="shared" si="0"/>
        <v>201</v>
      </c>
      <c r="BF1" s="68">
        <f t="shared" si="0"/>
        <v>202</v>
      </c>
      <c r="BG1" s="68">
        <f t="shared" si="0"/>
        <v>203</v>
      </c>
      <c r="BH1" s="68">
        <f t="shared" si="0"/>
        <v>204</v>
      </c>
      <c r="BI1" s="68">
        <f t="shared" si="0"/>
        <v>211</v>
      </c>
      <c r="BJ1" s="68">
        <f t="shared" si="0"/>
        <v>212</v>
      </c>
      <c r="BK1" s="68">
        <f t="shared" si="0"/>
        <v>213</v>
      </c>
      <c r="BL1" s="68">
        <f t="shared" si="0"/>
        <v>214</v>
      </c>
      <c r="BM1" s="68">
        <f t="shared" si="0"/>
        <v>221</v>
      </c>
      <c r="BN1" s="68">
        <f t="shared" si="0"/>
        <v>222</v>
      </c>
      <c r="BO1" s="68">
        <f t="shared" si="0"/>
        <v>223</v>
      </c>
      <c r="BP1" s="68">
        <f t="shared" si="0"/>
        <v>224</v>
      </c>
      <c r="BQ1" s="68">
        <f t="shared" ref="BQ1:CB1" si="1">VALUE(RIGHT(BQ2,2)&amp;LEFT(BQ2,1))</f>
        <v>231</v>
      </c>
      <c r="BR1" s="68">
        <f t="shared" si="1"/>
        <v>232</v>
      </c>
      <c r="BS1" s="68">
        <f t="shared" si="1"/>
        <v>233</v>
      </c>
      <c r="BT1" s="68">
        <f t="shared" si="1"/>
        <v>234</v>
      </c>
      <c r="BU1" s="68">
        <f t="shared" si="1"/>
        <v>241</v>
      </c>
      <c r="BV1" s="68">
        <f t="shared" si="1"/>
        <v>242</v>
      </c>
      <c r="BW1" s="68">
        <f t="shared" si="1"/>
        <v>243</v>
      </c>
      <c r="BX1" s="68">
        <f t="shared" si="1"/>
        <v>244</v>
      </c>
      <c r="BY1" s="68">
        <f t="shared" si="1"/>
        <v>251</v>
      </c>
      <c r="BZ1" s="68">
        <f t="shared" si="1"/>
        <v>252</v>
      </c>
      <c r="CA1" s="68">
        <f t="shared" si="1"/>
        <v>253</v>
      </c>
      <c r="CB1" s="68">
        <f t="shared" si="1"/>
        <v>254</v>
      </c>
    </row>
    <row r="2" spans="1:139" s="220" customFormat="1" ht="18" x14ac:dyDescent="0.3">
      <c r="E2" s="221" t="s">
        <v>106</v>
      </c>
      <c r="F2" s="221" t="s">
        <v>105</v>
      </c>
      <c r="G2" s="221" t="s">
        <v>104</v>
      </c>
      <c r="H2" s="221" t="s">
        <v>103</v>
      </c>
      <c r="I2" s="221" t="s">
        <v>102</v>
      </c>
      <c r="J2" s="221" t="s">
        <v>101</v>
      </c>
      <c r="K2" s="221" t="s">
        <v>100</v>
      </c>
      <c r="L2" s="221" t="s">
        <v>99</v>
      </c>
      <c r="M2" s="221" t="s">
        <v>98</v>
      </c>
      <c r="N2" s="221" t="s">
        <v>97</v>
      </c>
      <c r="O2" s="221" t="s">
        <v>96</v>
      </c>
      <c r="P2" s="221" t="s">
        <v>95</v>
      </c>
      <c r="Q2" s="221" t="s">
        <v>94</v>
      </c>
      <c r="R2" s="221" t="s">
        <v>93</v>
      </c>
      <c r="S2" s="221" t="s">
        <v>92</v>
      </c>
      <c r="T2" s="221" t="s">
        <v>91</v>
      </c>
      <c r="U2" s="221" t="s">
        <v>19</v>
      </c>
      <c r="V2" s="221" t="s">
        <v>18</v>
      </c>
      <c r="W2" s="221" t="s">
        <v>17</v>
      </c>
      <c r="X2" s="221" t="s">
        <v>16</v>
      </c>
      <c r="Y2" s="221" t="s">
        <v>15</v>
      </c>
      <c r="Z2" s="221" t="s">
        <v>14</v>
      </c>
      <c r="AA2" s="221" t="s">
        <v>13</v>
      </c>
      <c r="AB2" s="221" t="s">
        <v>12</v>
      </c>
      <c r="AC2" s="221" t="s">
        <v>11</v>
      </c>
      <c r="AD2" s="221" t="s">
        <v>10</v>
      </c>
      <c r="AE2" s="221" t="s">
        <v>1</v>
      </c>
      <c r="AF2" s="221" t="s">
        <v>9</v>
      </c>
      <c r="AG2" s="222" t="s">
        <v>8</v>
      </c>
      <c r="AH2" s="221" t="s">
        <v>7</v>
      </c>
      <c r="AI2" s="221" t="s">
        <v>6</v>
      </c>
      <c r="AJ2" s="221" t="s">
        <v>5</v>
      </c>
      <c r="AK2" s="221" t="s">
        <v>4</v>
      </c>
      <c r="AL2" s="221" t="s">
        <v>3</v>
      </c>
      <c r="AM2" s="221" t="s">
        <v>2</v>
      </c>
      <c r="AN2" s="221" t="s">
        <v>0</v>
      </c>
      <c r="AO2" s="221" t="s">
        <v>355</v>
      </c>
      <c r="AP2" s="221" t="s">
        <v>356</v>
      </c>
      <c r="AQ2" s="221" t="s">
        <v>357</v>
      </c>
      <c r="AR2" s="221" t="s">
        <v>358</v>
      </c>
      <c r="AS2" s="221" t="s">
        <v>368</v>
      </c>
      <c r="AT2" s="221" t="s">
        <v>369</v>
      </c>
      <c r="AU2" s="221" t="s">
        <v>372</v>
      </c>
      <c r="AV2" s="221" t="s">
        <v>373</v>
      </c>
      <c r="AW2" s="221" t="s">
        <v>374</v>
      </c>
      <c r="AX2" s="221" t="s">
        <v>375</v>
      </c>
      <c r="AY2" s="221" t="s">
        <v>376</v>
      </c>
      <c r="AZ2" s="221" t="s">
        <v>377</v>
      </c>
      <c r="BA2" s="221" t="s">
        <v>378</v>
      </c>
      <c r="BB2" s="221" t="s">
        <v>530</v>
      </c>
      <c r="BC2" s="221" t="s">
        <v>620</v>
      </c>
      <c r="BD2" s="221" t="s">
        <v>623</v>
      </c>
      <c r="BE2" s="221" t="s">
        <v>635</v>
      </c>
      <c r="BF2" s="221" t="s">
        <v>637</v>
      </c>
      <c r="BG2" s="221" t="s">
        <v>639</v>
      </c>
      <c r="BH2" s="221" t="s">
        <v>641</v>
      </c>
      <c r="BI2" s="221" t="s">
        <v>644</v>
      </c>
      <c r="BJ2" s="221" t="s">
        <v>647</v>
      </c>
      <c r="BK2" s="221" t="s">
        <v>651</v>
      </c>
      <c r="BL2" s="221" t="s">
        <v>654</v>
      </c>
      <c r="BM2" s="221" t="s">
        <v>658</v>
      </c>
      <c r="BN2" s="221" t="s">
        <v>659</v>
      </c>
      <c r="BO2" s="221" t="s">
        <v>752</v>
      </c>
      <c r="BP2" s="221" t="s">
        <v>757</v>
      </c>
      <c r="BQ2" s="221" t="s">
        <v>764</v>
      </c>
      <c r="BR2" s="221" t="s">
        <v>767</v>
      </c>
      <c r="BS2" s="221" t="s">
        <v>769</v>
      </c>
      <c r="BT2" s="221" t="s">
        <v>770</v>
      </c>
      <c r="BU2" s="221" t="s">
        <v>771</v>
      </c>
      <c r="BV2" s="221" t="s">
        <v>776</v>
      </c>
      <c r="BW2" s="221" t="s">
        <v>778</v>
      </c>
      <c r="BX2" s="221" t="s">
        <v>780</v>
      </c>
      <c r="BY2" s="221" t="s">
        <v>792</v>
      </c>
      <c r="BZ2" s="221" t="s">
        <v>795</v>
      </c>
      <c r="CA2" s="221" t="s">
        <v>796</v>
      </c>
      <c r="CB2" s="221" t="s">
        <v>797</v>
      </c>
      <c r="CE2" s="221" t="s">
        <v>531</v>
      </c>
      <c r="CF2" s="221" t="s">
        <v>532</v>
      </c>
      <c r="CG2" s="221">
        <v>2007</v>
      </c>
      <c r="CH2" s="221" t="s">
        <v>533</v>
      </c>
      <c r="CI2" s="221" t="s">
        <v>534</v>
      </c>
      <c r="CJ2" s="221">
        <v>2008</v>
      </c>
      <c r="CK2" s="221" t="s">
        <v>535</v>
      </c>
      <c r="CL2" s="221" t="s">
        <v>536</v>
      </c>
      <c r="CM2" s="221">
        <v>2009</v>
      </c>
      <c r="CN2" s="221" t="s">
        <v>537</v>
      </c>
      <c r="CO2" s="221" t="s">
        <v>538</v>
      </c>
      <c r="CP2" s="221">
        <v>2010</v>
      </c>
      <c r="CQ2" s="221" t="s">
        <v>539</v>
      </c>
      <c r="CR2" s="221" t="s">
        <v>540</v>
      </c>
      <c r="CS2" s="221">
        <v>2011</v>
      </c>
      <c r="CT2" s="221" t="s">
        <v>541</v>
      </c>
      <c r="CU2" s="221" t="s">
        <v>542</v>
      </c>
      <c r="CV2" s="221">
        <v>2012</v>
      </c>
      <c r="CW2" s="221" t="s">
        <v>543</v>
      </c>
      <c r="CX2" s="221" t="s">
        <v>544</v>
      </c>
      <c r="CY2" s="221">
        <v>2013</v>
      </c>
      <c r="CZ2" s="221" t="s">
        <v>545</v>
      </c>
      <c r="DA2" s="221" t="s">
        <v>546</v>
      </c>
      <c r="DB2" s="221">
        <v>2014</v>
      </c>
      <c r="DC2" s="221" t="s">
        <v>547</v>
      </c>
      <c r="DD2" s="221" t="s">
        <v>548</v>
      </c>
      <c r="DE2" s="221">
        <v>2015</v>
      </c>
      <c r="DF2" s="221" t="s">
        <v>549</v>
      </c>
      <c r="DG2" s="221" t="s">
        <v>550</v>
      </c>
      <c r="DH2" s="221">
        <v>2016</v>
      </c>
      <c r="DI2" s="221" t="s">
        <v>551</v>
      </c>
      <c r="DJ2" s="221" t="s">
        <v>552</v>
      </c>
      <c r="DK2" s="221">
        <v>2017</v>
      </c>
      <c r="DL2" s="221" t="s">
        <v>553</v>
      </c>
      <c r="DM2" s="221" t="s">
        <v>554</v>
      </c>
      <c r="DN2" s="221">
        <v>2018</v>
      </c>
      <c r="DO2" s="221" t="s">
        <v>555</v>
      </c>
      <c r="DP2" s="221" t="s">
        <v>621</v>
      </c>
      <c r="DQ2" s="221">
        <v>2019</v>
      </c>
      <c r="DR2" s="221" t="s">
        <v>638</v>
      </c>
      <c r="DS2" s="221" t="s">
        <v>640</v>
      </c>
      <c r="DT2" s="221">
        <v>2020</v>
      </c>
      <c r="DU2" s="221" t="s">
        <v>648</v>
      </c>
      <c r="DV2" s="221" t="s">
        <v>655</v>
      </c>
      <c r="DW2" s="221">
        <v>2021</v>
      </c>
      <c r="DX2" s="221" t="s">
        <v>661</v>
      </c>
      <c r="DY2" s="221" t="s">
        <v>753</v>
      </c>
      <c r="DZ2" s="221">
        <v>2022</v>
      </c>
      <c r="EA2" s="221" t="s">
        <v>765</v>
      </c>
      <c r="EB2" s="221" t="s">
        <v>766</v>
      </c>
      <c r="EC2" s="221">
        <v>2023</v>
      </c>
      <c r="ED2" s="221" t="s">
        <v>773</v>
      </c>
      <c r="EE2" s="221" t="s">
        <v>774</v>
      </c>
      <c r="EF2" s="221">
        <v>2024</v>
      </c>
      <c r="EG2" s="221" t="s">
        <v>793</v>
      </c>
      <c r="EH2" s="221" t="s">
        <v>794</v>
      </c>
      <c r="EI2" s="221">
        <v>2025</v>
      </c>
    </row>
    <row r="3" spans="1:139" s="158" customFormat="1" ht="18.600000000000001" thickBot="1" x14ac:dyDescent="0.4">
      <c r="B3" s="159" t="s">
        <v>107</v>
      </c>
      <c r="C3" s="159" t="s">
        <v>505</v>
      </c>
      <c r="D3" s="159" t="str">
        <f>IF(Menu!$D$12="PT",B3,C3)</f>
        <v>Trimestre</v>
      </c>
      <c r="E3" s="176" t="str">
        <f>IF(Menu!$D$12="PT",E2,IF(MID(E2,2,1)="T",MID(E2,1,1)&amp;"Q"&amp;MID(E2,3,2),IF(MID(E2,2,1)="S",MID(E2,1,1)&amp;"H"&amp;MID(E2,3,2),IF(MID(E2,2,1)="M",MID(E2,1,1)&amp;"M"&amp;MID(E2,3,2),E2))))</f>
        <v>1T07</v>
      </c>
      <c r="F3" s="160" t="str">
        <f>IF(Menu!$D$12="PT",F2,IF(MID(F2,2,1)="T",MID(F2,1,1)&amp;"Q"&amp;MID(F2,3,2),IF(MID(F2,2,1)="S",MID(F2,1,1)&amp;"H"&amp;MID(F2,3,2),IF(MID(F2,2,1)="M",MID(F2,1,1)&amp;"M"&amp;MID(F2,3,2),F2))))</f>
        <v>2T07</v>
      </c>
      <c r="G3" s="160" t="str">
        <f>IF(Menu!$D$12="PT",G2,IF(MID(G2,2,1)="T",MID(G2,1,1)&amp;"Q"&amp;MID(G2,3,2),IF(MID(G2,2,1)="S",MID(G2,1,1)&amp;"H"&amp;MID(G2,3,2),IF(MID(G2,2,1)="M",MID(G2,1,1)&amp;"M"&amp;MID(G2,3,2),G2))))</f>
        <v>3T07</v>
      </c>
      <c r="H3" s="160" t="str">
        <f>IF(Menu!$D$12="PT",H2,IF(MID(H2,2,1)="T",MID(H2,1,1)&amp;"Q"&amp;MID(H2,3,2),IF(MID(H2,2,1)="S",MID(H2,1,1)&amp;"H"&amp;MID(H2,3,2),IF(MID(H2,2,1)="M",MID(H2,1,1)&amp;"M"&amp;MID(H2,3,2),H2))))</f>
        <v>4T07</v>
      </c>
      <c r="I3" s="160" t="str">
        <f>IF(Menu!$D$12="PT",I2,IF(MID(I2,2,1)="T",MID(I2,1,1)&amp;"Q"&amp;MID(I2,3,2),IF(MID(I2,2,1)="S",MID(I2,1,1)&amp;"H"&amp;MID(I2,3,2),IF(MID(I2,2,1)="M",MID(I2,1,1)&amp;"M"&amp;MID(I2,3,2),I2))))</f>
        <v>1T08</v>
      </c>
      <c r="J3" s="160" t="str">
        <f>IF(Menu!$D$12="PT",J2,IF(MID(J2,2,1)="T",MID(J2,1,1)&amp;"Q"&amp;MID(J2,3,2),IF(MID(J2,2,1)="S",MID(J2,1,1)&amp;"H"&amp;MID(J2,3,2),IF(MID(J2,2,1)="M",MID(J2,1,1)&amp;"M"&amp;MID(J2,3,2),J2))))</f>
        <v>2T08</v>
      </c>
      <c r="K3" s="160" t="str">
        <f>IF(Menu!$D$12="PT",K2,IF(MID(K2,2,1)="T",MID(K2,1,1)&amp;"Q"&amp;MID(K2,3,2),IF(MID(K2,2,1)="S",MID(K2,1,1)&amp;"H"&amp;MID(K2,3,2),IF(MID(K2,2,1)="M",MID(K2,1,1)&amp;"M"&amp;MID(K2,3,2),K2))))</f>
        <v>3T08</v>
      </c>
      <c r="L3" s="160" t="str">
        <f>IF(Menu!$D$12="PT",L2,IF(MID(L2,2,1)="T",MID(L2,1,1)&amp;"Q"&amp;MID(L2,3,2),IF(MID(L2,2,1)="S",MID(L2,1,1)&amp;"H"&amp;MID(L2,3,2),IF(MID(L2,2,1)="M",MID(L2,1,1)&amp;"M"&amp;MID(L2,3,2),L2))))</f>
        <v>4T08</v>
      </c>
      <c r="M3" s="160" t="str">
        <f>IF(Menu!$D$12="PT",M2,IF(MID(M2,2,1)="T",MID(M2,1,1)&amp;"Q"&amp;MID(M2,3,2),IF(MID(M2,2,1)="S",MID(M2,1,1)&amp;"H"&amp;MID(M2,3,2),IF(MID(M2,2,1)="M",MID(M2,1,1)&amp;"M"&amp;MID(M2,3,2),M2))))</f>
        <v>1T09</v>
      </c>
      <c r="N3" s="160" t="str">
        <f>IF(Menu!$D$12="PT",N2,IF(MID(N2,2,1)="T",MID(N2,1,1)&amp;"Q"&amp;MID(N2,3,2),IF(MID(N2,2,1)="S",MID(N2,1,1)&amp;"H"&amp;MID(N2,3,2),IF(MID(N2,2,1)="M",MID(N2,1,1)&amp;"M"&amp;MID(N2,3,2),N2))))</f>
        <v>2T09</v>
      </c>
      <c r="O3" s="160" t="str">
        <f>IF(Menu!$D$12="PT",O2,IF(MID(O2,2,1)="T",MID(O2,1,1)&amp;"Q"&amp;MID(O2,3,2),IF(MID(O2,2,1)="S",MID(O2,1,1)&amp;"H"&amp;MID(O2,3,2),IF(MID(O2,2,1)="M",MID(O2,1,1)&amp;"M"&amp;MID(O2,3,2),O2))))</f>
        <v>3T09</v>
      </c>
      <c r="P3" s="160" t="str">
        <f>IF(Menu!$D$12="PT",P2,IF(MID(P2,2,1)="T",MID(P2,1,1)&amp;"Q"&amp;MID(P2,3,2),IF(MID(P2,2,1)="S",MID(P2,1,1)&amp;"H"&amp;MID(P2,3,2),IF(MID(P2,2,1)="M",MID(P2,1,1)&amp;"M"&amp;MID(P2,3,2),P2))))</f>
        <v>4T09</v>
      </c>
      <c r="Q3" s="160" t="str">
        <f>IF(Menu!$D$12="PT",Q2,IF(MID(Q2,2,1)="T",MID(Q2,1,1)&amp;"Q"&amp;MID(Q2,3,2),IF(MID(Q2,2,1)="S",MID(Q2,1,1)&amp;"H"&amp;MID(Q2,3,2),IF(MID(Q2,2,1)="M",MID(Q2,1,1)&amp;"M"&amp;MID(Q2,3,2),Q2))))</f>
        <v>1T10</v>
      </c>
      <c r="R3" s="160" t="str">
        <f>IF(Menu!$D$12="PT",R2,IF(MID(R2,2,1)="T",MID(R2,1,1)&amp;"Q"&amp;MID(R2,3,2),IF(MID(R2,2,1)="S",MID(R2,1,1)&amp;"H"&amp;MID(R2,3,2),IF(MID(R2,2,1)="M",MID(R2,1,1)&amp;"M"&amp;MID(R2,3,2),R2))))</f>
        <v>2T10</v>
      </c>
      <c r="S3" s="160" t="str">
        <f>IF(Menu!$D$12="PT",S2,IF(MID(S2,2,1)="T",MID(S2,1,1)&amp;"Q"&amp;MID(S2,3,2),IF(MID(S2,2,1)="S",MID(S2,1,1)&amp;"H"&amp;MID(S2,3,2),IF(MID(S2,2,1)="M",MID(S2,1,1)&amp;"M"&amp;MID(S2,3,2),S2))))</f>
        <v>3T10</v>
      </c>
      <c r="T3" s="160" t="str">
        <f>IF(Menu!$D$12="PT",T2,IF(MID(T2,2,1)="T",MID(T2,1,1)&amp;"Q"&amp;MID(T2,3,2),IF(MID(T2,2,1)="S",MID(T2,1,1)&amp;"H"&amp;MID(T2,3,2),IF(MID(T2,2,1)="M",MID(T2,1,1)&amp;"M"&amp;MID(T2,3,2),T2))))</f>
        <v>4T10</v>
      </c>
      <c r="U3" s="160" t="str">
        <f>IF(Menu!$D$12="PT",U2,IF(MID(U2,2,1)="T",MID(U2,1,1)&amp;"Q"&amp;MID(U2,3,2),IF(MID(U2,2,1)="S",MID(U2,1,1)&amp;"H"&amp;MID(U2,3,2),IF(MID(U2,2,1)="M",MID(U2,1,1)&amp;"M"&amp;MID(U2,3,2),U2))))</f>
        <v>1T11</v>
      </c>
      <c r="V3" s="160" t="str">
        <f>IF(Menu!$D$12="PT",V2,IF(MID(V2,2,1)="T",MID(V2,1,1)&amp;"Q"&amp;MID(V2,3,2),IF(MID(V2,2,1)="S",MID(V2,1,1)&amp;"H"&amp;MID(V2,3,2),IF(MID(V2,2,1)="M",MID(V2,1,1)&amp;"M"&amp;MID(V2,3,2),V2))))</f>
        <v>2T11</v>
      </c>
      <c r="W3" s="160" t="str">
        <f>IF(Menu!$D$12="PT",W2,IF(MID(W2,2,1)="T",MID(W2,1,1)&amp;"Q"&amp;MID(W2,3,2),IF(MID(W2,2,1)="S",MID(W2,1,1)&amp;"H"&amp;MID(W2,3,2),IF(MID(W2,2,1)="M",MID(W2,1,1)&amp;"M"&amp;MID(W2,3,2),W2))))</f>
        <v>3T11</v>
      </c>
      <c r="X3" s="160" t="str">
        <f>IF(Menu!$D$12="PT",X2,IF(MID(X2,2,1)="T",MID(X2,1,1)&amp;"Q"&amp;MID(X2,3,2),IF(MID(X2,2,1)="S",MID(X2,1,1)&amp;"H"&amp;MID(X2,3,2),IF(MID(X2,2,1)="M",MID(X2,1,1)&amp;"M"&amp;MID(X2,3,2),X2))))</f>
        <v>4T11</v>
      </c>
      <c r="Y3" s="160" t="str">
        <f>IF(Menu!$D$12="PT",Y2,IF(MID(Y2,2,1)="T",MID(Y2,1,1)&amp;"Q"&amp;MID(Y2,3,2),IF(MID(Y2,2,1)="S",MID(Y2,1,1)&amp;"H"&amp;MID(Y2,3,2),IF(MID(Y2,2,1)="M",MID(Y2,1,1)&amp;"M"&amp;MID(Y2,3,2),Y2))))</f>
        <v>1T12</v>
      </c>
      <c r="Z3" s="160" t="str">
        <f>IF(Menu!$D$12="PT",Z2,IF(MID(Z2,2,1)="T",MID(Z2,1,1)&amp;"Q"&amp;MID(Z2,3,2),IF(MID(Z2,2,1)="S",MID(Z2,1,1)&amp;"H"&amp;MID(Z2,3,2),IF(MID(Z2,2,1)="M",MID(Z2,1,1)&amp;"M"&amp;MID(Z2,3,2),Z2))))</f>
        <v>2T12</v>
      </c>
      <c r="AA3" s="160" t="str">
        <f>IF(Menu!$D$12="PT",AA2,IF(MID(AA2,2,1)="T",MID(AA2,1,1)&amp;"Q"&amp;MID(AA2,3,2),IF(MID(AA2,2,1)="S",MID(AA2,1,1)&amp;"H"&amp;MID(AA2,3,2),IF(MID(AA2,2,1)="M",MID(AA2,1,1)&amp;"M"&amp;MID(AA2,3,2),AA2))))</f>
        <v>3T12</v>
      </c>
      <c r="AB3" s="160" t="str">
        <f>IF(Menu!$D$12="PT",AB2,IF(MID(AB2,2,1)="T",MID(AB2,1,1)&amp;"Q"&amp;MID(AB2,3,2),IF(MID(AB2,2,1)="S",MID(AB2,1,1)&amp;"H"&amp;MID(AB2,3,2),IF(MID(AB2,2,1)="M",MID(AB2,1,1)&amp;"M"&amp;MID(AB2,3,2),AB2))))</f>
        <v>4T12</v>
      </c>
      <c r="AC3" s="160" t="str">
        <f>IF(Menu!$D$12="PT",AC2,IF(MID(AC2,2,1)="T",MID(AC2,1,1)&amp;"Q"&amp;MID(AC2,3,2),IF(MID(AC2,2,1)="S",MID(AC2,1,1)&amp;"H"&amp;MID(AC2,3,2),IF(MID(AC2,2,1)="M",MID(AC2,1,1)&amp;"M"&amp;MID(AC2,3,2),AC2))))</f>
        <v>1T13</v>
      </c>
      <c r="AD3" s="160" t="str">
        <f>IF(Menu!$D$12="PT",AD2,IF(MID(AD2,2,1)="T",MID(AD2,1,1)&amp;"Q"&amp;MID(AD2,3,2),IF(MID(AD2,2,1)="S",MID(AD2,1,1)&amp;"H"&amp;MID(AD2,3,2),IF(MID(AD2,2,1)="M",MID(AD2,1,1)&amp;"M"&amp;MID(AD2,3,2),AD2))))</f>
        <v>2T13</v>
      </c>
      <c r="AE3" s="160" t="str">
        <f>IF(Menu!$D$12="PT",AE2,IF(MID(AE2,2,1)="T",MID(AE2,1,1)&amp;"Q"&amp;MID(AE2,3,2),IF(MID(AE2,2,1)="S",MID(AE2,1,1)&amp;"H"&amp;MID(AE2,3,2),IF(MID(AE2,2,1)="M",MID(AE2,1,1)&amp;"M"&amp;MID(AE2,3,2),AE2))))</f>
        <v>3T13</v>
      </c>
      <c r="AF3" s="160" t="str">
        <f>IF(Menu!$D$12="PT",AF2,IF(MID(AF2,2,1)="T",MID(AF2,1,1)&amp;"Q"&amp;MID(AF2,3,2),IF(MID(AF2,2,1)="S",MID(AF2,1,1)&amp;"H"&amp;MID(AF2,3,2),IF(MID(AF2,2,1)="M",MID(AF2,1,1)&amp;"M"&amp;MID(AF2,3,2),AF2))))</f>
        <v>4T13</v>
      </c>
      <c r="AG3" s="161" t="str">
        <f>IF(Menu!$D$12="PT",AG2,IF(MID(AG2,2,1)="T",MID(AG2,1,1)&amp;"Q"&amp;MID(AG2,3,2),IF(MID(AG2,2,1)="S",MID(AG2,1,1)&amp;"H"&amp;MID(AG2,3,2),IF(MID(AG2,2,1)="M",MID(AG2,1,1)&amp;"M"&amp;MID(AG2,3,2),AG2))))</f>
        <v>1T14</v>
      </c>
      <c r="AH3" s="160" t="str">
        <f>IF(Menu!$D$12="PT",AH2,IF(MID(AH2,2,1)="T",MID(AH2,1,1)&amp;"Q"&amp;MID(AH2,3,2),IF(MID(AH2,2,1)="S",MID(AH2,1,1)&amp;"H"&amp;MID(AH2,3,2),IF(MID(AH2,2,1)="M",MID(AH2,1,1)&amp;"M"&amp;MID(AH2,3,2),AH2))))</f>
        <v>2T14</v>
      </c>
      <c r="AI3" s="160" t="str">
        <f>IF(Menu!$D$12="PT",AI2,IF(MID(AI2,2,1)="T",MID(AI2,1,1)&amp;"Q"&amp;MID(AI2,3,2),IF(MID(AI2,2,1)="S",MID(AI2,1,1)&amp;"H"&amp;MID(AI2,3,2),IF(MID(AI2,2,1)="M",MID(AI2,1,1)&amp;"M"&amp;MID(AI2,3,2),AI2))))</f>
        <v>3T14</v>
      </c>
      <c r="AJ3" s="160" t="str">
        <f>IF(Menu!$D$12="PT",AJ2,IF(MID(AJ2,2,1)="T",MID(AJ2,1,1)&amp;"Q"&amp;MID(AJ2,3,2),IF(MID(AJ2,2,1)="S",MID(AJ2,1,1)&amp;"H"&amp;MID(AJ2,3,2),IF(MID(AJ2,2,1)="M",MID(AJ2,1,1)&amp;"M"&amp;MID(AJ2,3,2),AJ2))))</f>
        <v>4T14</v>
      </c>
      <c r="AK3" s="160" t="str">
        <f>IF(Menu!$D$12="PT",AK2,IF(MID(AK2,2,1)="T",MID(AK2,1,1)&amp;"Q"&amp;MID(AK2,3,2),IF(MID(AK2,2,1)="S",MID(AK2,1,1)&amp;"H"&amp;MID(AK2,3,2),IF(MID(AK2,2,1)="M",MID(AK2,1,1)&amp;"M"&amp;MID(AK2,3,2),AK2))))</f>
        <v>1T15</v>
      </c>
      <c r="AL3" s="160" t="str">
        <f>IF(Menu!$D$12="PT",AL2,IF(MID(AL2,2,1)="T",MID(AL2,1,1)&amp;"Q"&amp;MID(AL2,3,2),IF(MID(AL2,2,1)="S",MID(AL2,1,1)&amp;"H"&amp;MID(AL2,3,2),IF(MID(AL2,2,1)="M",MID(AL2,1,1)&amp;"M"&amp;MID(AL2,3,2),AL2))))</f>
        <v>2T15</v>
      </c>
      <c r="AM3" s="160" t="str">
        <f>IF(Menu!$D$12="PT",AM2,IF(MID(AM2,2,1)="T",MID(AM2,1,1)&amp;"Q"&amp;MID(AM2,3,2),IF(MID(AM2,2,1)="S",MID(AM2,1,1)&amp;"H"&amp;MID(AM2,3,2),IF(MID(AM2,2,1)="M",MID(AM2,1,1)&amp;"M"&amp;MID(AM2,3,2),AM2))))</f>
        <v>3T15</v>
      </c>
      <c r="AN3" s="160" t="str">
        <f>IF(Menu!$D$12="PT",AN2,IF(MID(AN2,2,1)="T",MID(AN2,1,1)&amp;"Q"&amp;MID(AN2,3,2),IF(MID(AN2,2,1)="S",MID(AN2,1,1)&amp;"H"&amp;MID(AN2,3,2),IF(MID(AN2,2,1)="M",MID(AN2,1,1)&amp;"M"&amp;MID(AN2,3,2),AN2))))</f>
        <v>4T15</v>
      </c>
      <c r="AO3" s="160" t="str">
        <f>IF(Menu!$D$12="PT",AO2,IF(MID(AO2,2,1)="T",MID(AO2,1,1)&amp;"Q"&amp;MID(AO2,3,2),IF(MID(AO2,2,1)="S",MID(AO2,1,1)&amp;"H"&amp;MID(AO2,3,2),IF(MID(AO2,2,1)="M",MID(AO2,1,1)&amp;"M"&amp;MID(AO2,3,2),AO2))))</f>
        <v>1T16</v>
      </c>
      <c r="AP3" s="160" t="str">
        <f>IF(Menu!$D$12="PT",AP2,IF(MID(AP2,2,1)="T",MID(AP2,1,1)&amp;"Q"&amp;MID(AP2,3,2),IF(MID(AP2,2,1)="S",MID(AP2,1,1)&amp;"H"&amp;MID(AP2,3,2),IF(MID(AP2,2,1)="M",MID(AP2,1,1)&amp;"M"&amp;MID(AP2,3,2),AP2))))</f>
        <v>2T16</v>
      </c>
      <c r="AQ3" s="160" t="str">
        <f>IF(Menu!$D$12="PT",AQ2,IF(MID(AQ2,2,1)="T",MID(AQ2,1,1)&amp;"Q"&amp;MID(AQ2,3,2),IF(MID(AQ2,2,1)="S",MID(AQ2,1,1)&amp;"H"&amp;MID(AQ2,3,2),IF(MID(AQ2,2,1)="M",MID(AQ2,1,1)&amp;"M"&amp;MID(AQ2,3,2),AQ2))))</f>
        <v>3T16</v>
      </c>
      <c r="AR3" s="160" t="str">
        <f>IF(Menu!$D$12="PT",AR2,IF(MID(AR2,2,1)="T",MID(AR2,1,1)&amp;"Q"&amp;MID(AR2,3,2),IF(MID(AR2,2,1)="S",MID(AR2,1,1)&amp;"H"&amp;MID(AR2,3,2),IF(MID(AR2,2,1)="M",MID(AR2,1,1)&amp;"M"&amp;MID(AR2,3,2),AR2))))</f>
        <v>4T16</v>
      </c>
      <c r="AS3" s="160" t="str">
        <f>IF(Menu!$D$12="PT",AS2,IF(MID(AS2,2,1)="T",MID(AS2,1,1)&amp;"Q"&amp;MID(AS2,3,2),IF(MID(AS2,2,1)="S",MID(AS2,1,1)&amp;"H"&amp;MID(AS2,3,2),IF(MID(AS2,2,1)="M",MID(AS2,1,1)&amp;"M"&amp;MID(AS2,3,2),AS2))))</f>
        <v>1T17</v>
      </c>
      <c r="AT3" s="160" t="str">
        <f>IF(Menu!$D$12="PT",AT2,IF(MID(AT2,2,1)="T",MID(AT2,1,1)&amp;"Q"&amp;MID(AT2,3,2),IF(MID(AT2,2,1)="S",MID(AT2,1,1)&amp;"H"&amp;MID(AT2,3,2),IF(MID(AT2,2,1)="M",MID(AT2,1,1)&amp;"M"&amp;MID(AT2,3,2),AT2))))</f>
        <v>2T17</v>
      </c>
      <c r="AU3" s="160" t="str">
        <f>IF(Menu!$D$12="PT",AU2,IF(MID(AU2,2,1)="T",MID(AU2,1,1)&amp;"Q"&amp;MID(AU2,3,2),IF(MID(AU2,2,1)="S",MID(AU2,1,1)&amp;"H"&amp;MID(AU2,3,2),IF(MID(AU2,2,1)="M",MID(AU2,1,1)&amp;"M"&amp;MID(AU2,3,2),AU2))))</f>
        <v>3T17</v>
      </c>
      <c r="AV3" s="160" t="str">
        <f>IF(Menu!$D$12="PT",AV2,IF(MID(AV2,2,1)="T",MID(AV2,1,1)&amp;"Q"&amp;MID(AV2,3,2),IF(MID(AV2,2,1)="S",MID(AV2,1,1)&amp;"H"&amp;MID(AV2,3,2),IF(MID(AV2,2,1)="M",MID(AV2,1,1)&amp;"M"&amp;MID(AV2,3,2),AV2))))</f>
        <v>4T17</v>
      </c>
      <c r="AW3" s="160" t="str">
        <f>IF(Menu!$D$12="PT",AW2,IF(MID(AW2,2,1)="T",MID(AW2,1,1)&amp;"Q"&amp;MID(AW2,3,2),IF(MID(AW2,2,1)="S",MID(AW2,1,1)&amp;"H"&amp;MID(AW2,3,2),IF(MID(AW2,2,1)="M",MID(AW2,1,1)&amp;"M"&amp;MID(AW2,3,2),AW2))))</f>
        <v>1T18</v>
      </c>
      <c r="AX3" s="160" t="str">
        <f>IF(Menu!$D$12="PT",AX2,IF(MID(AX2,2,1)="T",MID(AX2,1,1)&amp;"Q"&amp;MID(AX2,3,2),IF(MID(AX2,2,1)="S",MID(AX2,1,1)&amp;"H"&amp;MID(AX2,3,2),IF(MID(AX2,2,1)="M",MID(AX2,1,1)&amp;"M"&amp;MID(AX2,3,2),AX2))))</f>
        <v>2T18</v>
      </c>
      <c r="AY3" s="160" t="str">
        <f>IF(Menu!$D$12="PT",AY2,IF(MID(AY2,2,1)="T",MID(AY2,1,1)&amp;"Q"&amp;MID(AY2,3,2),IF(MID(AY2,2,1)="S",MID(AY2,1,1)&amp;"H"&amp;MID(AY2,3,2),IF(MID(AY2,2,1)="M",MID(AY2,1,1)&amp;"M"&amp;MID(AY2,3,2),AY2))))</f>
        <v>3T18</v>
      </c>
      <c r="AZ3" s="160" t="str">
        <f>IF(Menu!$D$12="PT",AZ2,IF(MID(AZ2,2,1)="T",MID(AZ2,1,1)&amp;"Q"&amp;MID(AZ2,3,2),IF(MID(AZ2,2,1)="S",MID(AZ2,1,1)&amp;"H"&amp;MID(AZ2,3,2),IF(MID(AZ2,2,1)="M",MID(AZ2,1,1)&amp;"M"&amp;MID(AZ2,3,2),AZ2))))</f>
        <v>4T18</v>
      </c>
      <c r="BA3" s="160" t="str">
        <f>IF(Menu!$D$12="PT",BA2,IF(MID(BA2,2,1)="T",MID(BA2,1,1)&amp;"Q"&amp;MID(BA2,3,2),IF(MID(BA2,2,1)="S",MID(BA2,1,1)&amp;"H"&amp;MID(BA2,3,2),IF(MID(BA2,2,1)="M",MID(BA2,1,1)&amp;"M"&amp;MID(BA2,3,2),BA2))))</f>
        <v>1T19</v>
      </c>
      <c r="BB3" s="160" t="str">
        <f>IF(Menu!$D$12="PT",BB2,IF(MID(BB2,2,1)="T",MID(BB2,1,1)&amp;"Q"&amp;MID(BB2,3,2),IF(MID(BB2,2,1)="S",MID(BB2,1,1)&amp;"H"&amp;MID(BB2,3,2),IF(MID(BB2,2,1)="M",MID(BB2,1,1)&amp;"M"&amp;MID(BB2,3,2),BB2))))</f>
        <v>2T19</v>
      </c>
      <c r="BC3" s="160" t="str">
        <f>IF(Menu!$D$12="PT",BC2,IF(MID(BC2,2,1)="T",MID(BC2,1,1)&amp;"Q"&amp;MID(BC2,3,2),IF(MID(BC2,2,1)="S",MID(BC2,1,1)&amp;"H"&amp;MID(BC2,3,2),IF(MID(BC2,2,1)="M",MID(BC2,1,1)&amp;"M"&amp;MID(BC2,3,2),BC2))))</f>
        <v>3T19</v>
      </c>
      <c r="BD3" s="160" t="str">
        <f>IF(Menu!$D$12="PT",BD2,IF(MID(BD2,2,1)="T",MID(BD2,1,1)&amp;"Q"&amp;MID(BD2,3,2),IF(MID(BD2,2,1)="S",MID(BD2,1,1)&amp;"H"&amp;MID(BD2,3,2),IF(MID(BD2,2,1)="M",MID(BD2,1,1)&amp;"M"&amp;MID(BD2,3,2),BD2))))</f>
        <v>4T19</v>
      </c>
      <c r="BE3" s="160" t="str">
        <f>IF(Menu!$D$12="PT",BE2,IF(MID(BE2,2,1)="T",MID(BE2,1,1)&amp;"Q"&amp;MID(BE2,3,2),IF(MID(BE2,2,1)="S",MID(BE2,1,1)&amp;"H"&amp;MID(BE2,3,2),IF(MID(BE2,2,1)="M",MID(BE2,1,1)&amp;"M"&amp;MID(BE2,3,2),BE2))))</f>
        <v>1T20</v>
      </c>
      <c r="BF3" s="160" t="str">
        <f>IF(Menu!$D$12="PT",BF2,IF(MID(BF2,2,1)="T",MID(BF2,1,1)&amp;"Q"&amp;MID(BF2,3,2),IF(MID(BF2,2,1)="S",MID(BF2,1,1)&amp;"H"&amp;MID(BF2,3,2),IF(MID(BF2,2,1)="M",MID(BF2,1,1)&amp;"M"&amp;MID(BF2,3,2),BF2))))</f>
        <v>2T20</v>
      </c>
      <c r="BG3" s="160" t="str">
        <f>IF(Menu!$D$12="PT",BG2,IF(MID(BG2,2,1)="T",MID(BG2,1,1)&amp;"Q"&amp;MID(BG2,3,2),IF(MID(BG2,2,1)="S",MID(BG2,1,1)&amp;"H"&amp;MID(BG2,3,2),IF(MID(BG2,2,1)="M",MID(BG2,1,1)&amp;"M"&amp;MID(BG2,3,2),BG2))))</f>
        <v>3T20</v>
      </c>
      <c r="BH3" s="160" t="str">
        <f>IF(Menu!$D$12="PT",BH2,IF(MID(BH2,2,1)="T",MID(BH2,1,1)&amp;"Q"&amp;MID(BH2,3,2),IF(MID(BH2,2,1)="S",MID(BH2,1,1)&amp;"H"&amp;MID(BH2,3,2),IF(MID(BH2,2,1)="M",MID(BH2,1,1)&amp;"M"&amp;MID(BH2,3,2),BH2))))</f>
        <v>4T20</v>
      </c>
      <c r="BI3" s="160" t="str">
        <f>IF(Menu!$D$12="PT",BI2,IF(MID(BI2,2,1)="T",MID(BI2,1,1)&amp;"Q"&amp;MID(BI2,3,2),IF(MID(BI2,2,1)="S",MID(BI2,1,1)&amp;"H"&amp;MID(BI2,3,2),IF(MID(BI2,2,1)="M",MID(BI2,1,1)&amp;"M"&amp;MID(BI2,3,2),BI2))))</f>
        <v>1T21</v>
      </c>
      <c r="BJ3" s="160" t="str">
        <f>IF(Menu!$D$12="PT",BJ2,IF(MID(BJ2,2,1)="T",MID(BJ2,1,1)&amp;"Q"&amp;MID(BJ2,3,2),IF(MID(BJ2,2,1)="S",MID(BJ2,1,1)&amp;"H"&amp;MID(BJ2,3,2),IF(MID(BJ2,2,1)="M",MID(BJ2,1,1)&amp;"M"&amp;MID(BJ2,3,2),BJ2))))</f>
        <v>2T21</v>
      </c>
      <c r="BK3" s="160" t="str">
        <f>IF(Menu!$D$12="PT",BK2,IF(MID(BK2,2,1)="T",MID(BK2,1,1)&amp;"Q"&amp;MID(BK2,3,2),IF(MID(BK2,2,1)="S",MID(BK2,1,1)&amp;"H"&amp;MID(BK2,3,2),IF(MID(BK2,2,1)="M",MID(BK2,1,1)&amp;"M"&amp;MID(BK2,3,2),BK2))))</f>
        <v>3T21</v>
      </c>
      <c r="BL3" s="160" t="str">
        <f>IF(Menu!$D$12="PT",BL2,IF(MID(BL2,2,1)="T",MID(BL2,1,1)&amp;"Q"&amp;MID(BL2,3,2),IF(MID(BL2,2,1)="S",MID(BL2,1,1)&amp;"H"&amp;MID(BL2,3,2),IF(MID(BL2,2,1)="M",MID(BL2,1,1)&amp;"M"&amp;MID(BL2,3,2),BL2))))</f>
        <v>4T21</v>
      </c>
      <c r="BM3" s="160" t="str">
        <f>IF(Menu!$D$12="PT",BM2,IF(MID(BM2,2,1)="T",MID(BM2,1,1)&amp;"Q"&amp;MID(BM2,3,2),IF(MID(BM2,2,1)="S",MID(BM2,1,1)&amp;"H"&amp;MID(BM2,3,2),IF(MID(BM2,2,1)="M",MID(BM2,1,1)&amp;"M"&amp;MID(BM2,3,2),BM2))))</f>
        <v>1T22</v>
      </c>
      <c r="BN3" s="160" t="str">
        <f>IF(Menu!$D$12="PT",BN2,IF(MID(BN2,2,1)="T",MID(BN2,1,1)&amp;"Q"&amp;MID(BN2,3,2),IF(MID(BN2,2,1)="S",MID(BN2,1,1)&amp;"H"&amp;MID(BN2,3,2),IF(MID(BN2,2,1)="M",MID(BN2,1,1)&amp;"M"&amp;MID(BN2,3,2),BN2))))</f>
        <v>2T22</v>
      </c>
      <c r="BO3" s="160" t="str">
        <f>IF(Menu!$D$12="PT",BO2,IF(MID(BO2,2,1)="T",MID(BO2,1,1)&amp;"Q"&amp;MID(BO2,3,2),IF(MID(BO2,2,1)="S",MID(BO2,1,1)&amp;"H"&amp;MID(BO2,3,2),IF(MID(BO2,2,1)="M",MID(BO2,1,1)&amp;"M"&amp;MID(BO2,3,2),BO2))))</f>
        <v>3T22</v>
      </c>
      <c r="BP3" s="160" t="str">
        <f>IF(Menu!$D$12="PT",BP2,IF(MID(BP2,2,1)="T",MID(BP2,1,1)&amp;"Q"&amp;MID(BP2,3,2),IF(MID(BP2,2,1)="S",MID(BP2,1,1)&amp;"H"&amp;MID(BP2,3,2),IF(MID(BP2,2,1)="M",MID(BP2,1,1)&amp;"M"&amp;MID(BP2,3,2),BP2))))</f>
        <v>4T22</v>
      </c>
      <c r="BQ3" s="160" t="str">
        <f>IF(Menu!$D$12="PT",BQ2,IF(MID(BQ2,2,1)="T",MID(BQ2,1,1)&amp;"Q"&amp;MID(BQ2,3,2),IF(MID(BQ2,2,1)="S",MID(BQ2,1,1)&amp;"H"&amp;MID(BQ2,3,2),IF(MID(BQ2,2,1)="M",MID(BQ2,1,1)&amp;"M"&amp;MID(BQ2,3,2),BQ2))))</f>
        <v>1T23</v>
      </c>
      <c r="BR3" s="160" t="str">
        <f>IF(Menu!$D$12="PT",BR2,IF(MID(BR2,2,1)="T",MID(BR2,1,1)&amp;"Q"&amp;MID(BR2,3,2),IF(MID(BR2,2,1)="S",MID(BR2,1,1)&amp;"H"&amp;MID(BR2,3,2),IF(MID(BR2,2,1)="M",MID(BR2,1,1)&amp;"M"&amp;MID(BR2,3,2),BR2))))</f>
        <v>2T23</v>
      </c>
      <c r="BS3" s="160" t="str">
        <f>IF(Menu!$D$12="PT",BS2,IF(MID(BS2,2,1)="T",MID(BS2,1,1)&amp;"Q"&amp;MID(BS2,3,2),IF(MID(BS2,2,1)="S",MID(BS2,1,1)&amp;"H"&amp;MID(BS2,3,2),IF(MID(BS2,2,1)="M",MID(BS2,1,1)&amp;"M"&amp;MID(BS2,3,2),BS2))))</f>
        <v>3T23</v>
      </c>
      <c r="BT3" s="160" t="str">
        <f>IF(Menu!$D$12="PT",BT2,IF(MID(BT2,2,1)="T",MID(BT2,1,1)&amp;"Q"&amp;MID(BT2,3,2),IF(MID(BT2,2,1)="S",MID(BT2,1,1)&amp;"H"&amp;MID(BT2,3,2),IF(MID(BT2,2,1)="M",MID(BT2,1,1)&amp;"M"&amp;MID(BT2,3,2),BT2))))</f>
        <v>4T23</v>
      </c>
      <c r="BU3" s="160" t="str">
        <f>IF(Menu!$D$12="PT",BU2,IF(MID(BU2,2,1)="T",MID(BU2,1,1)&amp;"Q"&amp;MID(BU2,3,2),IF(MID(BU2,2,1)="S",MID(BU2,1,1)&amp;"H"&amp;MID(BU2,3,2),IF(MID(BU2,2,1)="M",MID(BU2,1,1)&amp;"M"&amp;MID(BU2,3,2),BU2))))</f>
        <v>1T24</v>
      </c>
      <c r="BV3" s="160" t="str">
        <f>IF(Menu!$D$12="PT",BV2,IF(MID(BV2,2,1)="T",MID(BV2,1,1)&amp;"Q"&amp;MID(BV2,3,2),IF(MID(BV2,2,1)="S",MID(BV2,1,1)&amp;"H"&amp;MID(BV2,3,2),IF(MID(BV2,2,1)="M",MID(BV2,1,1)&amp;"M"&amp;MID(BV2,3,2),BV2))))</f>
        <v>2T24</v>
      </c>
      <c r="BW3" s="160" t="str">
        <f>IF(Menu!$D$12="PT",BW2,IF(MID(BW2,2,1)="T",MID(BW2,1,1)&amp;"Q"&amp;MID(BW2,3,2),IF(MID(BW2,2,1)="S",MID(BW2,1,1)&amp;"H"&amp;MID(BW2,3,2),IF(MID(BW2,2,1)="M",MID(BW2,1,1)&amp;"M"&amp;MID(BW2,3,2),BW2))))</f>
        <v>3T24</v>
      </c>
      <c r="BX3" s="160" t="str">
        <f>IF(Menu!$D$12="PT",BX2,IF(MID(BX2,2,1)="T",MID(BX2,1,1)&amp;"Q"&amp;MID(BX2,3,2),IF(MID(BX2,2,1)="S",MID(BX2,1,1)&amp;"H"&amp;MID(BX2,3,2),IF(MID(BX2,2,1)="M",MID(BX2,1,1)&amp;"M"&amp;MID(BX2,3,2),BX2))))</f>
        <v>4T24</v>
      </c>
      <c r="BY3" s="160" t="str">
        <f>IF(Menu!$D$12="PT",BY2,IF(MID(BY2,2,1)="T",MID(BY2,1,1)&amp;"Q"&amp;MID(BY2,3,2),IF(MID(BY2,2,1)="S",MID(BY2,1,1)&amp;"H"&amp;MID(BY2,3,2),IF(MID(BY2,2,1)="M",MID(BY2,1,1)&amp;"M"&amp;MID(BY2,3,2),BY2))))</f>
        <v>1T25</v>
      </c>
      <c r="BZ3" s="160" t="str">
        <f>IF(Menu!$D$12="PT",BZ2,IF(MID(BZ2,2,1)="T",MID(BZ2,1,1)&amp;"Q"&amp;MID(BZ2,3,2),IF(MID(BZ2,2,1)="S",MID(BZ2,1,1)&amp;"H"&amp;MID(BZ2,3,2),IF(MID(BZ2,2,1)="M",MID(BZ2,1,1)&amp;"M"&amp;MID(BZ2,3,2),BZ2))))</f>
        <v>2T25</v>
      </c>
      <c r="CA3" s="160" t="str">
        <f>IF(Menu!$D$12="PT",CA2,IF(MID(CA2,2,1)="T",MID(CA2,1,1)&amp;"Q"&amp;MID(CA2,3,2),IF(MID(CA2,2,1)="S",MID(CA2,1,1)&amp;"H"&amp;MID(CA2,3,2),IF(MID(CA2,2,1)="M",MID(CA2,1,1)&amp;"M"&amp;MID(CA2,3,2),CA2))))</f>
        <v>3T25</v>
      </c>
      <c r="CB3" s="160" t="str">
        <f>IF(Menu!$D$12="PT",CB2,IF(MID(CB2,2,1)="T",MID(CB2,1,1)&amp;"Q"&amp;MID(CB2,3,2),IF(MID(CB2,2,1)="S",MID(CB2,1,1)&amp;"H"&amp;MID(CB2,3,2),IF(MID(CB2,2,1)="M",MID(CB2,1,1)&amp;"M"&amp;MID(CB2,3,2),CB2))))</f>
        <v>4T25</v>
      </c>
      <c r="CC3" s="5"/>
      <c r="CD3" s="5"/>
      <c r="CE3" s="160" t="str">
        <f>IF(Menu!$D$12="PT",CE2,IF(MID(CE2,2,1)="T",MID(CE2,1,1)&amp;"Q"&amp;MID(CE2,3,2),IF(MID(CE2,2,1)="S",MID(CE2,1,1)&amp;"H"&amp;MID(CE2,3,2),IF(MID(CE2,2,1)="M",MID(CE2,1,1)&amp;"M"&amp;MID(CE2,3,2),CE2))))</f>
        <v>1S07</v>
      </c>
      <c r="CF3" s="160" t="str">
        <f>IF(Menu!$D$12="PT",CF2,IF(MID(CF2,2,1)="T",MID(CF2,1,1)&amp;"Q"&amp;MID(CF2,3,2),IF(MID(CF2,2,1)="S",MID(CF2,1,1)&amp;"H"&amp;MID(CF2,3,2),IF(MID(CF2,2,1)="M",MID(CF2,1,1)&amp;"M"&amp;MID(CF2,3,2),CF2))))</f>
        <v>9M07</v>
      </c>
      <c r="CG3" s="160">
        <f>IF(Menu!$D$12="PT",CG2,IF(MID(CG2,2,1)="T",MID(CG2,1,1)&amp;"Q"&amp;MID(CG2,3,2),IF(MID(CG2,2,1)="S",MID(CG2,1,1)&amp;"H"&amp;MID(CG2,3,2),IF(MID(CG2,2,1)="M",MID(CG2,1,1)&amp;"M"&amp;MID(CG2,3,2),CG2))))</f>
        <v>2007</v>
      </c>
      <c r="CH3" s="160" t="str">
        <f>IF(Menu!$D$12="PT",CH2,IF(MID(CH2,2,1)="T",MID(CH2,1,1)&amp;"Q"&amp;MID(CH2,3,2),IF(MID(CH2,2,1)="S",MID(CH2,1,1)&amp;"H"&amp;MID(CH2,3,2),IF(MID(CH2,2,1)="M",MID(CH2,1,1)&amp;"M"&amp;MID(CH2,3,2),CH2))))</f>
        <v>1S08</v>
      </c>
      <c r="CI3" s="160" t="str">
        <f>IF(Menu!$D$12="PT",CI2,IF(MID(CI2,2,1)="T",MID(CI2,1,1)&amp;"Q"&amp;MID(CI2,3,2),IF(MID(CI2,2,1)="S",MID(CI2,1,1)&amp;"H"&amp;MID(CI2,3,2),IF(MID(CI2,2,1)="M",MID(CI2,1,1)&amp;"M"&amp;MID(CI2,3,2),CI2))))</f>
        <v>9M08</v>
      </c>
      <c r="CJ3" s="160">
        <f>IF(Menu!$D$12="PT",CJ2,IF(MID(CJ2,2,1)="T",MID(CJ2,1,1)&amp;"Q"&amp;MID(CJ2,3,2),IF(MID(CJ2,2,1)="S",MID(CJ2,1,1)&amp;"H"&amp;MID(CJ2,3,2),IF(MID(CJ2,2,1)="M",MID(CJ2,1,1)&amp;"M"&amp;MID(CJ2,3,2),CJ2))))</f>
        <v>2008</v>
      </c>
      <c r="CK3" s="160" t="str">
        <f>IF(Menu!$D$12="PT",CK2,IF(MID(CK2,2,1)="T",MID(CK2,1,1)&amp;"Q"&amp;MID(CK2,3,2),IF(MID(CK2,2,1)="S",MID(CK2,1,1)&amp;"H"&amp;MID(CK2,3,2),IF(MID(CK2,2,1)="M",MID(CK2,1,1)&amp;"M"&amp;MID(CK2,3,2),CK2))))</f>
        <v>1S09</v>
      </c>
      <c r="CL3" s="160" t="str">
        <f>IF(Menu!$D$12="PT",CL2,IF(MID(CL2,2,1)="T",MID(CL2,1,1)&amp;"Q"&amp;MID(CL2,3,2),IF(MID(CL2,2,1)="S",MID(CL2,1,1)&amp;"H"&amp;MID(CL2,3,2),IF(MID(CL2,2,1)="M",MID(CL2,1,1)&amp;"M"&amp;MID(CL2,3,2),CL2))))</f>
        <v>9M09</v>
      </c>
      <c r="CM3" s="160">
        <f>IF(Menu!$D$12="PT",CM2,IF(MID(CM2,2,1)="T",MID(CM2,1,1)&amp;"Q"&amp;MID(CM2,3,2),IF(MID(CM2,2,1)="S",MID(CM2,1,1)&amp;"H"&amp;MID(CM2,3,2),IF(MID(CM2,2,1)="M",MID(CM2,1,1)&amp;"M"&amp;MID(CM2,3,2),CM2))))</f>
        <v>2009</v>
      </c>
      <c r="CN3" s="160" t="str">
        <f>IF(Menu!$D$12="PT",CN2,IF(MID(CN2,2,1)="T",MID(CN2,1,1)&amp;"Q"&amp;MID(CN2,3,2),IF(MID(CN2,2,1)="S",MID(CN2,1,1)&amp;"H"&amp;MID(CN2,3,2),IF(MID(CN2,2,1)="M",MID(CN2,1,1)&amp;"M"&amp;MID(CN2,3,2),CN2))))</f>
        <v>1S10</v>
      </c>
      <c r="CO3" s="160" t="str">
        <f>IF(Menu!$D$12="PT",CO2,IF(MID(CO2,2,1)="T",MID(CO2,1,1)&amp;"Q"&amp;MID(CO2,3,2),IF(MID(CO2,2,1)="S",MID(CO2,1,1)&amp;"H"&amp;MID(CO2,3,2),IF(MID(CO2,2,1)="M",MID(CO2,1,1)&amp;"M"&amp;MID(CO2,3,2),CO2))))</f>
        <v>9M10</v>
      </c>
      <c r="CP3" s="160">
        <f>IF(Menu!$D$12="PT",CP2,IF(MID(CP2,2,1)="T",MID(CP2,1,1)&amp;"Q"&amp;MID(CP2,3,2),IF(MID(CP2,2,1)="S",MID(CP2,1,1)&amp;"H"&amp;MID(CP2,3,2),IF(MID(CP2,2,1)="M",MID(CP2,1,1)&amp;"M"&amp;MID(CP2,3,2),CP2))))</f>
        <v>2010</v>
      </c>
      <c r="CQ3" s="160" t="str">
        <f>IF(Menu!$D$12="PT",CQ2,IF(MID(CQ2,2,1)="T",MID(CQ2,1,1)&amp;"Q"&amp;MID(CQ2,3,2),IF(MID(CQ2,2,1)="S",MID(CQ2,1,1)&amp;"H"&amp;MID(CQ2,3,2),IF(MID(CQ2,2,1)="M",MID(CQ2,1,1)&amp;"M"&amp;MID(CQ2,3,2),CQ2))))</f>
        <v>1S11</v>
      </c>
      <c r="CR3" s="160" t="str">
        <f>IF(Menu!$D$12="PT",CR2,IF(MID(CR2,2,1)="T",MID(CR2,1,1)&amp;"Q"&amp;MID(CR2,3,2),IF(MID(CR2,2,1)="S",MID(CR2,1,1)&amp;"H"&amp;MID(CR2,3,2),IF(MID(CR2,2,1)="M",MID(CR2,1,1)&amp;"M"&amp;MID(CR2,3,2),CR2))))</f>
        <v>9M11</v>
      </c>
      <c r="CS3" s="160">
        <f>IF(Menu!$D$12="PT",CS2,IF(MID(CS2,2,1)="T",MID(CS2,1,1)&amp;"Q"&amp;MID(CS2,3,2),IF(MID(CS2,2,1)="S",MID(CS2,1,1)&amp;"H"&amp;MID(CS2,3,2),IF(MID(CS2,2,1)="M",MID(CS2,1,1)&amp;"M"&amp;MID(CS2,3,2),CS2))))</f>
        <v>2011</v>
      </c>
      <c r="CT3" s="160" t="str">
        <f>IF(Menu!$D$12="PT",CT2,IF(MID(CT2,2,1)="T",MID(CT2,1,1)&amp;"Q"&amp;MID(CT2,3,2),IF(MID(CT2,2,1)="S",MID(CT2,1,1)&amp;"H"&amp;MID(CT2,3,2),IF(MID(CT2,2,1)="M",MID(CT2,1,1)&amp;"M"&amp;MID(CT2,3,2),CT2))))</f>
        <v>1S12</v>
      </c>
      <c r="CU3" s="160" t="str">
        <f>IF(Menu!$D$12="PT",CU2,IF(MID(CU2,2,1)="T",MID(CU2,1,1)&amp;"Q"&amp;MID(CU2,3,2),IF(MID(CU2,2,1)="S",MID(CU2,1,1)&amp;"H"&amp;MID(CU2,3,2),IF(MID(CU2,2,1)="M",MID(CU2,1,1)&amp;"M"&amp;MID(CU2,3,2),CU2))))</f>
        <v>9M12</v>
      </c>
      <c r="CV3" s="160">
        <f>IF(Menu!$D$12="PT",CV2,IF(MID(CV2,2,1)="T",MID(CV2,1,1)&amp;"Q"&amp;MID(CV2,3,2),IF(MID(CV2,2,1)="S",MID(CV2,1,1)&amp;"H"&amp;MID(CV2,3,2),IF(MID(CV2,2,1)="M",MID(CV2,1,1)&amp;"M"&amp;MID(CV2,3,2),CV2))))</f>
        <v>2012</v>
      </c>
      <c r="CW3" s="160" t="str">
        <f>IF(Menu!$D$12="PT",CW2,IF(MID(CW2,2,1)="T",MID(CW2,1,1)&amp;"Q"&amp;MID(CW2,3,2),IF(MID(CW2,2,1)="S",MID(CW2,1,1)&amp;"H"&amp;MID(CW2,3,2),IF(MID(CW2,2,1)="M",MID(CW2,1,1)&amp;"M"&amp;MID(CW2,3,2),CW2))))</f>
        <v>1S13</v>
      </c>
      <c r="CX3" s="160" t="str">
        <f>IF(Menu!$D$12="PT",CX2,IF(MID(CX2,2,1)="T",MID(CX2,1,1)&amp;"Q"&amp;MID(CX2,3,2),IF(MID(CX2,2,1)="S",MID(CX2,1,1)&amp;"H"&amp;MID(CX2,3,2),IF(MID(CX2,2,1)="M",MID(CX2,1,1)&amp;"M"&amp;MID(CX2,3,2),CX2))))</f>
        <v>9M13</v>
      </c>
      <c r="CY3" s="160">
        <f>IF(Menu!$D$12="PT",CY2,IF(MID(CY2,2,1)="T",MID(CY2,1,1)&amp;"Q"&amp;MID(CY2,3,2),IF(MID(CY2,2,1)="S",MID(CY2,1,1)&amp;"H"&amp;MID(CY2,3,2),IF(MID(CY2,2,1)="M",MID(CY2,1,1)&amp;"M"&amp;MID(CY2,3,2),CY2))))</f>
        <v>2013</v>
      </c>
      <c r="CZ3" s="160" t="str">
        <f>IF(Menu!$D$12="PT",CZ2,IF(MID(CZ2,2,1)="T",MID(CZ2,1,1)&amp;"Q"&amp;MID(CZ2,3,2),IF(MID(CZ2,2,1)="S",MID(CZ2,1,1)&amp;"H"&amp;MID(CZ2,3,2),IF(MID(CZ2,2,1)="M",MID(CZ2,1,1)&amp;"M"&amp;MID(CZ2,3,2),CZ2))))</f>
        <v>1S14</v>
      </c>
      <c r="DA3" s="160" t="str">
        <f>IF(Menu!$D$12="PT",DA2,IF(MID(DA2,2,1)="T",MID(DA2,1,1)&amp;"Q"&amp;MID(DA2,3,2),IF(MID(DA2,2,1)="S",MID(DA2,1,1)&amp;"H"&amp;MID(DA2,3,2),IF(MID(DA2,2,1)="M",MID(DA2,1,1)&amp;"M"&amp;MID(DA2,3,2),DA2))))</f>
        <v>9M14</v>
      </c>
      <c r="DB3" s="160">
        <f>IF(Menu!$D$12="PT",DB2,IF(MID(DB2,2,1)="T",MID(DB2,1,1)&amp;"Q"&amp;MID(DB2,3,2),IF(MID(DB2,2,1)="S",MID(DB2,1,1)&amp;"H"&amp;MID(DB2,3,2),IF(MID(DB2,2,1)="M",MID(DB2,1,1)&amp;"M"&amp;MID(DB2,3,2),DB2))))</f>
        <v>2014</v>
      </c>
      <c r="DC3" s="160" t="str">
        <f>IF(Menu!$D$12="PT",DC2,IF(MID(DC2,2,1)="T",MID(DC2,1,1)&amp;"Q"&amp;MID(DC2,3,2),IF(MID(DC2,2,1)="S",MID(DC2,1,1)&amp;"H"&amp;MID(DC2,3,2),IF(MID(DC2,2,1)="M",MID(DC2,1,1)&amp;"M"&amp;MID(DC2,3,2),DC2))))</f>
        <v>1S15</v>
      </c>
      <c r="DD3" s="160" t="str">
        <f>IF(Menu!$D$12="PT",DD2,IF(MID(DD2,2,1)="T",MID(DD2,1,1)&amp;"Q"&amp;MID(DD2,3,2),IF(MID(DD2,2,1)="S",MID(DD2,1,1)&amp;"H"&amp;MID(DD2,3,2),IF(MID(DD2,2,1)="M",MID(DD2,1,1)&amp;"M"&amp;MID(DD2,3,2),DD2))))</f>
        <v>9M15</v>
      </c>
      <c r="DE3" s="160">
        <f>IF(Menu!$D$12="PT",DE2,IF(MID(DE2,2,1)="T",MID(DE2,1,1)&amp;"Q"&amp;MID(DE2,3,2),IF(MID(DE2,2,1)="S",MID(DE2,1,1)&amp;"H"&amp;MID(DE2,3,2),IF(MID(DE2,2,1)="M",MID(DE2,1,1)&amp;"M"&amp;MID(DE2,3,2),DE2))))</f>
        <v>2015</v>
      </c>
      <c r="DF3" s="160" t="str">
        <f>IF(Menu!$D$12="PT",DF2,IF(MID(DF2,2,1)="T",MID(DF2,1,1)&amp;"Q"&amp;MID(DF2,3,2),IF(MID(DF2,2,1)="S",MID(DF2,1,1)&amp;"H"&amp;MID(DF2,3,2),IF(MID(DF2,2,1)="M",MID(DF2,1,1)&amp;"M"&amp;MID(DF2,3,2),DF2))))</f>
        <v>1S16</v>
      </c>
      <c r="DG3" s="160" t="str">
        <f>IF(Menu!$D$12="PT",DG2,IF(MID(DG2,2,1)="T",MID(DG2,1,1)&amp;"Q"&amp;MID(DG2,3,2),IF(MID(DG2,2,1)="S",MID(DG2,1,1)&amp;"H"&amp;MID(DG2,3,2),IF(MID(DG2,2,1)="M",MID(DG2,1,1)&amp;"M"&amp;MID(DG2,3,2),DG2))))</f>
        <v>9M16</v>
      </c>
      <c r="DH3" s="160">
        <f>IF(Menu!$D$12="PT",DH2,IF(MID(DH2,2,1)="T",MID(DH2,1,1)&amp;"Q"&amp;MID(DH2,3,2),IF(MID(DH2,2,1)="S",MID(DH2,1,1)&amp;"H"&amp;MID(DH2,3,2),IF(MID(DH2,2,1)="M",MID(DH2,1,1)&amp;"M"&amp;MID(DH2,3,2),DH2))))</f>
        <v>2016</v>
      </c>
      <c r="DI3" s="160" t="str">
        <f>IF(Menu!$D$12="PT",DI2,IF(MID(DI2,2,1)="T",MID(DI2,1,1)&amp;"Q"&amp;MID(DI2,3,2),IF(MID(DI2,2,1)="S",MID(DI2,1,1)&amp;"H"&amp;MID(DI2,3,2),IF(MID(DI2,2,1)="M",MID(DI2,1,1)&amp;"M"&amp;MID(DI2,3,2),DI2))))</f>
        <v>1S17</v>
      </c>
      <c r="DJ3" s="160" t="str">
        <f>IF(Menu!$D$12="PT",DJ2,IF(MID(DJ2,2,1)="T",MID(DJ2,1,1)&amp;"Q"&amp;MID(DJ2,3,2),IF(MID(DJ2,2,1)="S",MID(DJ2,1,1)&amp;"H"&amp;MID(DJ2,3,2),IF(MID(DJ2,2,1)="M",MID(DJ2,1,1)&amp;"M"&amp;MID(DJ2,3,2),DJ2))))</f>
        <v>9M17</v>
      </c>
      <c r="DK3" s="160">
        <f>IF(Menu!$D$12="PT",DK2,IF(MID(DK2,2,1)="T",MID(DK2,1,1)&amp;"Q"&amp;MID(DK2,3,2),IF(MID(DK2,2,1)="S",MID(DK2,1,1)&amp;"H"&amp;MID(DK2,3,2),IF(MID(DK2,2,1)="M",MID(DK2,1,1)&amp;"M"&amp;MID(DK2,3,2),DK2))))</f>
        <v>2017</v>
      </c>
      <c r="DL3" s="160" t="str">
        <f>IF(Menu!$D$12="PT",DL2,IF(MID(DL2,2,1)="T",MID(DL2,1,1)&amp;"Q"&amp;MID(DL2,3,2),IF(MID(DL2,2,1)="S",MID(DL2,1,1)&amp;"H"&amp;MID(DL2,3,2),IF(MID(DL2,2,1)="M",MID(DL2,1,1)&amp;"M"&amp;MID(DL2,3,2),DL2))))</f>
        <v>1S18</v>
      </c>
      <c r="DM3" s="160" t="str">
        <f>IF(Menu!$D$12="PT",DM2,IF(MID(DM2,2,1)="T",MID(DM2,1,1)&amp;"Q"&amp;MID(DM2,3,2),IF(MID(DM2,2,1)="S",MID(DM2,1,1)&amp;"H"&amp;MID(DM2,3,2),IF(MID(DM2,2,1)="M",MID(DM2,1,1)&amp;"M"&amp;MID(DM2,3,2),DM2))))</f>
        <v>9M18</v>
      </c>
      <c r="DN3" s="160">
        <f>IF(Menu!$D$12="PT",DN2,IF(MID(DN2,2,1)="T",MID(DN2,1,1)&amp;"Q"&amp;MID(DN2,3,2),IF(MID(DN2,2,1)="S",MID(DN2,1,1)&amp;"H"&amp;MID(DN2,3,2),IF(MID(DN2,2,1)="M",MID(DN2,1,1)&amp;"M"&amp;MID(DN2,3,2),DN2))))</f>
        <v>2018</v>
      </c>
      <c r="DO3" s="160" t="str">
        <f>IF(Menu!$D$12="PT",DO2,IF(MID(DO2,2,1)="T",MID(DO2,1,1)&amp;"Q"&amp;MID(DO2,3,2),IF(MID(DO2,2,1)="S",MID(DO2,1,1)&amp;"H"&amp;MID(DO2,3,2),IF(MID(DO2,2,1)="M",MID(DO2,1,1)&amp;"M"&amp;MID(DO2,3,2),DO2))))</f>
        <v>1S19</v>
      </c>
      <c r="DP3" s="160" t="str">
        <f>IF(Menu!$D$12="PT",DP2,IF(MID(DP2,2,1)="T",MID(DP2,1,1)&amp;"Q"&amp;MID(DP2,3,2),IF(MID(DP2,2,1)="S",MID(DP2,1,1)&amp;"H"&amp;MID(DP2,3,2),IF(MID(DP2,2,1)="M",MID(DP2,1,1)&amp;"M"&amp;MID(DP2,3,2),DP2))))</f>
        <v>9M19</v>
      </c>
      <c r="DQ3" s="160">
        <f>IF(Menu!$D$12="PT",DQ2,IF(MID(DQ2,2,1)="T",MID(DQ2,1,1)&amp;"Q"&amp;MID(DQ2,3,2),IF(MID(DQ2,2,1)="S",MID(DQ2,1,1)&amp;"H"&amp;MID(DQ2,3,2),IF(MID(DQ2,2,1)="M",MID(DQ2,1,1)&amp;"M"&amp;MID(DQ2,3,2),DQ2))))</f>
        <v>2019</v>
      </c>
      <c r="DR3" s="160" t="str">
        <f>IF(Menu!$D$12="PT",DR2,IF(MID(DR2,2,1)="T",MID(DR2,1,1)&amp;"Q"&amp;MID(DR2,3,2),IF(MID(DR2,2,1)="S",MID(DR2,1,1)&amp;"H"&amp;MID(DR2,3,2),IF(MID(DR2,2,1)="M",MID(DR2,1,1)&amp;"M"&amp;MID(DR2,3,2),DR2))))</f>
        <v>1S20</v>
      </c>
      <c r="DS3" s="160" t="str">
        <f>IF(Menu!$D$12="PT",DS2,IF(MID(DS2,2,1)="T",MID(DS2,1,1)&amp;"Q"&amp;MID(DS2,3,2),IF(MID(DS2,2,1)="S",MID(DS2,1,1)&amp;"H"&amp;MID(DS2,3,2),IF(MID(DS2,2,1)="M",MID(DS2,1,1)&amp;"M"&amp;MID(DS2,3,2),DS2))))</f>
        <v>9M20</v>
      </c>
      <c r="DT3" s="160">
        <f>IF(Menu!$D$12="PT",DT2,IF(MID(DT2,2,1)="T",MID(DT2,1,1)&amp;"Q"&amp;MID(DT2,3,2),IF(MID(DT2,2,1)="S",MID(DT2,1,1)&amp;"H"&amp;MID(DT2,3,2),IF(MID(DT2,2,1)="M",MID(DT2,1,1)&amp;"M"&amp;MID(DT2,3,2),DT2))))</f>
        <v>2020</v>
      </c>
      <c r="DU3" s="160" t="str">
        <f>IF(Menu!$D$12="PT",DU2,IF(MID(DU2,2,1)="T",MID(DU2,1,1)&amp;"Q"&amp;MID(DU2,3,2),IF(MID(DU2,2,1)="S",MID(DU2,1,1)&amp;"H"&amp;MID(DU2,3,2),IF(MID(DU2,2,1)="M",MID(DU2,1,1)&amp;"M"&amp;MID(DU2,3,2),DU2))))</f>
        <v>1S21</v>
      </c>
      <c r="DV3" s="160" t="str">
        <f>IF(Menu!$D$12="PT",DV2,IF(MID(DV2,2,1)="T",MID(DV2,1,1)&amp;"Q"&amp;MID(DV2,3,2),IF(MID(DV2,2,1)="S",MID(DV2,1,1)&amp;"H"&amp;MID(DV2,3,2),IF(MID(DV2,2,1)="M",MID(DV2,1,1)&amp;"M"&amp;MID(DV2,3,2),DV2))))</f>
        <v>9M21</v>
      </c>
      <c r="DW3" s="160">
        <f>IF(Menu!$D$12="PT",DW2,IF(MID(DW2,2,1)="T",MID(DW2,1,1)&amp;"Q"&amp;MID(DW2,3,2),IF(MID(DW2,2,1)="S",MID(DW2,1,1)&amp;"H"&amp;MID(DW2,3,2),IF(MID(DW2,2,1)="M",MID(DW2,1,1)&amp;"M"&amp;MID(DW2,3,2),DW2))))</f>
        <v>2021</v>
      </c>
      <c r="DX3" s="160" t="str">
        <f>IF(Menu!$D$12="PT",DX2,IF(MID(DX2,2,1)="T",MID(DX2,1,1)&amp;"Q"&amp;MID(DX2,3,2),IF(MID(DX2,2,1)="S",MID(DX2,1,1)&amp;"H"&amp;MID(DX2,3,2),IF(MID(DX2,2,1)="M",MID(DX2,1,1)&amp;"M"&amp;MID(DX2,3,2),DX2))))</f>
        <v>1S22</v>
      </c>
      <c r="DY3" s="160" t="str">
        <f>IF(Menu!$D$12="PT",DY2,IF(MID(DY2,2,1)="T",MID(DY2,1,1)&amp;"Q"&amp;MID(DY2,3,2),IF(MID(DY2,2,1)="S",MID(DY2,1,1)&amp;"H"&amp;MID(DY2,3,2),IF(MID(DY2,2,1)="M",MID(DY2,1,1)&amp;"M"&amp;MID(DY2,3,2),DY2))))</f>
        <v>9M22</v>
      </c>
      <c r="DZ3" s="160">
        <f>IF(Menu!$D$12="PT",DZ2,IF(MID(DZ2,2,1)="T",MID(DZ2,1,1)&amp;"Q"&amp;MID(DZ2,3,2),IF(MID(DZ2,2,1)="S",MID(DZ2,1,1)&amp;"H"&amp;MID(DZ2,3,2),IF(MID(DZ2,2,1)="M",MID(DZ2,1,1)&amp;"M"&amp;MID(DZ2,3,2),DZ2))))</f>
        <v>2022</v>
      </c>
      <c r="EA3" s="160" t="str">
        <f>IF(Menu!$D$12="PT",EA2,IF(MID(EA2,2,1)="T",MID(EA2,1,1)&amp;"Q"&amp;MID(EA2,3,2),IF(MID(EA2,2,1)="S",MID(EA2,1,1)&amp;"H"&amp;MID(EA2,3,2),IF(MID(EA2,2,1)="M",MID(EA2,1,1)&amp;"M"&amp;MID(EA2,3,2),EA2))))</f>
        <v>1S23</v>
      </c>
      <c r="EB3" s="160" t="str">
        <f>IF(Menu!$D$12="PT",EB2,IF(MID(EB2,2,1)="T",MID(EB2,1,1)&amp;"Q"&amp;MID(EB2,3,2),IF(MID(EB2,2,1)="S",MID(EB2,1,1)&amp;"H"&amp;MID(EB2,3,2),IF(MID(EB2,2,1)="M",MID(EB2,1,1)&amp;"M"&amp;MID(EB2,3,2),EB2))))</f>
        <v>9M23</v>
      </c>
      <c r="EC3" s="160">
        <f>IF(Menu!$D$12="PT",EC2,IF(MID(EC2,2,1)="T",MID(EC2,1,1)&amp;"Q"&amp;MID(EC2,3,2),IF(MID(EC2,2,1)="S",MID(EC2,1,1)&amp;"H"&amp;MID(EC2,3,2),IF(MID(EC2,2,1)="M",MID(EC2,1,1)&amp;"M"&amp;MID(EC2,3,2),EC2))))</f>
        <v>2023</v>
      </c>
      <c r="ED3" s="160" t="str">
        <f>IF(Menu!$D$12="PT",ED2,IF(MID(ED2,2,1)="T",MID(ED2,1,1)&amp;"Q"&amp;MID(ED2,3,2),IF(MID(ED2,2,1)="S",MID(ED2,1,1)&amp;"H"&amp;MID(ED2,3,2),IF(MID(ED2,2,1)="M",MID(ED2,1,1)&amp;"M"&amp;MID(ED2,3,2),ED2))))</f>
        <v>1S24</v>
      </c>
      <c r="EE3" s="160" t="str">
        <f>IF(Menu!$D$12="PT",EE2,IF(MID(EE2,2,1)="T",MID(EE2,1,1)&amp;"Q"&amp;MID(EE2,3,2),IF(MID(EE2,2,1)="S",MID(EE2,1,1)&amp;"H"&amp;MID(EE2,3,2),IF(MID(EE2,2,1)="M",MID(EE2,1,1)&amp;"M"&amp;MID(EE2,3,2),EE2))))</f>
        <v>9M24</v>
      </c>
      <c r="EF3" s="160">
        <f>IF(Menu!$D$12="PT",EF2,IF(MID(EF2,2,1)="T",MID(EF2,1,1)&amp;"Q"&amp;MID(EF2,3,2),IF(MID(EF2,2,1)="S",MID(EF2,1,1)&amp;"H"&amp;MID(EF2,3,2),IF(MID(EF2,2,1)="M",MID(EF2,1,1)&amp;"M"&amp;MID(EF2,3,2),EF2))))</f>
        <v>2024</v>
      </c>
      <c r="EG3" s="160" t="str">
        <f>IF(Menu!$D$12="PT",EG2,IF(MID(EG2,2,1)="T",MID(EG2,1,1)&amp;"Q"&amp;MID(EG2,3,2),IF(MID(EG2,2,1)="S",MID(EG2,1,1)&amp;"H"&amp;MID(EG2,3,2),IF(MID(EG2,2,1)="M",MID(EG2,1,1)&amp;"M"&amp;MID(EG2,3,2),EG2))))</f>
        <v>1S25</v>
      </c>
      <c r="EH3" s="160" t="str">
        <f>IF(Menu!$D$12="PT",EH2,IF(MID(EH2,2,1)="T",MID(EH2,1,1)&amp;"Q"&amp;MID(EH2,3,2),IF(MID(EH2,2,1)="S",MID(EH2,1,1)&amp;"H"&amp;MID(EH2,3,2),IF(MID(EH2,2,1)="M",MID(EH2,1,1)&amp;"M"&amp;MID(EH2,3,2),EH2))))</f>
        <v>9M25</v>
      </c>
      <c r="EI3" s="160">
        <f>IF(Menu!$D$12="PT",EI2,IF(MID(EI2,2,1)="T",MID(EI2,1,1)&amp;"Q"&amp;MID(EI2,3,2),IF(MID(EI2,2,1)="S",MID(EI2,1,1)&amp;"H"&amp;MID(EI2,3,2),IF(MID(EI2,2,1)="M",MID(EI2,1,1)&amp;"M"&amp;MID(EI2,3,2),EI2))))</f>
        <v>2025</v>
      </c>
    </row>
    <row r="4" spans="1:139" x14ac:dyDescent="0.3">
      <c r="AF4" s="72"/>
      <c r="AG4" s="74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</row>
    <row r="5" spans="1:139" s="64" customFormat="1" ht="16.2" thickBot="1" x14ac:dyDescent="0.35">
      <c r="A5" s="71"/>
      <c r="B5" s="154" t="s">
        <v>133</v>
      </c>
      <c r="C5" s="154" t="s">
        <v>506</v>
      </c>
      <c r="D5" s="154" t="str">
        <f>IF(Menu!$D$12="PT",B5,C5)</f>
        <v>Lançamentos</v>
      </c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62"/>
      <c r="AG5" s="163"/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162"/>
      <c r="BQ5" s="162"/>
      <c r="BR5" s="162"/>
      <c r="BS5" s="162"/>
      <c r="BT5" s="162"/>
      <c r="BU5" s="162"/>
      <c r="BV5" s="162"/>
      <c r="BW5" s="162"/>
      <c r="BX5" s="162"/>
      <c r="BY5" s="162"/>
      <c r="BZ5" s="162"/>
      <c r="CA5" s="162"/>
      <c r="CB5" s="162"/>
      <c r="CE5" s="155"/>
      <c r="CF5" s="155"/>
      <c r="CG5" s="155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5"/>
      <c r="EI5" s="155"/>
    </row>
    <row r="6" spans="1:139" x14ac:dyDescent="0.3">
      <c r="AF6" s="72"/>
      <c r="AG6" s="74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</row>
    <row r="7" spans="1:139" x14ac:dyDescent="0.3">
      <c r="B7" s="63" t="s">
        <v>132</v>
      </c>
      <c r="C7" s="133" t="s">
        <v>507</v>
      </c>
      <c r="D7" s="133" t="str">
        <f>IF(Menu!$D$12="PT",B7,C7)</f>
        <v>Empreendimentos lançados</v>
      </c>
      <c r="E7" s="61">
        <v>1</v>
      </c>
      <c r="F7" s="61">
        <v>3</v>
      </c>
      <c r="G7" s="61">
        <v>4</v>
      </c>
      <c r="H7" s="61">
        <v>13</v>
      </c>
      <c r="I7" s="61">
        <v>3</v>
      </c>
      <c r="J7" s="61">
        <v>6</v>
      </c>
      <c r="K7" s="61">
        <v>11</v>
      </c>
      <c r="L7" s="61">
        <v>7</v>
      </c>
      <c r="M7" s="61">
        <v>2</v>
      </c>
      <c r="N7" s="61">
        <v>2</v>
      </c>
      <c r="O7" s="61">
        <v>2</v>
      </c>
      <c r="P7" s="61">
        <v>1</v>
      </c>
      <c r="Q7" s="61">
        <v>5</v>
      </c>
      <c r="R7" s="61">
        <v>5</v>
      </c>
      <c r="S7" s="61">
        <v>7</v>
      </c>
      <c r="T7" s="61">
        <v>13</v>
      </c>
      <c r="U7" s="61">
        <v>10</v>
      </c>
      <c r="V7" s="61">
        <v>8</v>
      </c>
      <c r="W7" s="61">
        <v>6</v>
      </c>
      <c r="X7" s="61">
        <v>14</v>
      </c>
      <c r="Y7" s="61">
        <v>0</v>
      </c>
      <c r="Z7" s="61">
        <v>3</v>
      </c>
      <c r="AA7" s="61">
        <v>5</v>
      </c>
      <c r="AB7" s="61">
        <v>6</v>
      </c>
      <c r="AC7" s="61">
        <v>5</v>
      </c>
      <c r="AD7" s="61">
        <v>5</v>
      </c>
      <c r="AE7" s="61">
        <v>4</v>
      </c>
      <c r="AF7" s="61">
        <v>4</v>
      </c>
      <c r="AG7" s="61">
        <v>3</v>
      </c>
      <c r="AH7" s="61">
        <v>4</v>
      </c>
      <c r="AI7" s="61">
        <v>0</v>
      </c>
      <c r="AJ7" s="61">
        <f>COUNTIF(Lançamentos!$C:$C,AJ$2)</f>
        <v>3</v>
      </c>
      <c r="AK7" s="61">
        <f>COUNTIF(Lançamentos!$C:$C,AK$2)</f>
        <v>0</v>
      </c>
      <c r="AL7" s="61">
        <f>COUNTIF(Lançamentos!$C:$C,AL$2)</f>
        <v>0</v>
      </c>
      <c r="AM7" s="61">
        <f>COUNTIF(Lançamentos!$C:$C,AM$2)</f>
        <v>1</v>
      </c>
      <c r="AN7" s="61">
        <f>COUNTIF(Lançamentos!$C:$C,AN$2)</f>
        <v>0</v>
      </c>
      <c r="AO7" s="61">
        <f>COUNTIF(Lançamentos!$C:$C,AO$2)</f>
        <v>0</v>
      </c>
      <c r="AP7" s="61">
        <f>COUNTIF(Lançamentos!$C:$C,AP$2)</f>
        <v>0</v>
      </c>
      <c r="AQ7" s="61">
        <f>COUNTIF(Lançamentos!$C:$C,AQ$2)</f>
        <v>2</v>
      </c>
      <c r="AR7" s="61">
        <f>COUNTIF(Lançamentos!$C:$C,AR$2)</f>
        <v>4</v>
      </c>
      <c r="AS7" s="61">
        <f>COUNTIF(Lançamentos!$C:$C,AS$2)</f>
        <v>0</v>
      </c>
      <c r="AT7" s="61">
        <f>COUNTIF(Lançamentos!$C:$C,AT$2)</f>
        <v>0</v>
      </c>
      <c r="AU7" s="61">
        <f>COUNTIF(Lançamentos!$C:$C,AU$2)</f>
        <v>0</v>
      </c>
      <c r="AV7" s="61">
        <f>COUNTIF(Lançamentos!$C:$C,AV$2)</f>
        <v>0</v>
      </c>
      <c r="AW7" s="61">
        <f>COUNTIF(Lançamentos!$C:$C,AW$2)</f>
        <v>0</v>
      </c>
      <c r="AX7" s="61">
        <f>COUNTIF(Lançamentos!$C:$C,AX$2)</f>
        <v>0</v>
      </c>
      <c r="AY7" s="61">
        <f>COUNTIF(Lançamentos!$C:$C,AY$2)</f>
        <v>0</v>
      </c>
      <c r="AZ7" s="61">
        <f>COUNTIF(Lançamentos!$C:$C,AZ$2)</f>
        <v>0</v>
      </c>
      <c r="BA7" s="61">
        <f>COUNTIF(Lançamentos!$C:$C,BA$2)</f>
        <v>0</v>
      </c>
      <c r="BB7" s="61">
        <v>3</v>
      </c>
      <c r="BC7" s="61">
        <v>0</v>
      </c>
      <c r="BD7" s="61">
        <v>1</v>
      </c>
      <c r="BE7" s="61">
        <v>1</v>
      </c>
      <c r="BF7" s="61">
        <v>0</v>
      </c>
      <c r="BG7" s="61">
        <v>0</v>
      </c>
      <c r="BH7" s="102">
        <v>2</v>
      </c>
      <c r="BI7" s="102">
        <v>0</v>
      </c>
      <c r="BJ7" s="102">
        <v>1</v>
      </c>
      <c r="BK7" s="102">
        <v>2</v>
      </c>
      <c r="BL7" s="102">
        <v>2</v>
      </c>
      <c r="BM7" s="102">
        <v>0</v>
      </c>
      <c r="BN7" s="102">
        <v>0</v>
      </c>
      <c r="BO7" s="102">
        <v>2</v>
      </c>
      <c r="BP7" s="102">
        <v>2</v>
      </c>
      <c r="BQ7" s="102">
        <v>0</v>
      </c>
      <c r="BR7" s="102">
        <v>0</v>
      </c>
      <c r="BS7" s="102">
        <v>0</v>
      </c>
      <c r="BT7" s="102">
        <v>1</v>
      </c>
      <c r="BU7" s="102">
        <v>1</v>
      </c>
      <c r="BV7" s="102">
        <v>2</v>
      </c>
      <c r="BW7" s="102">
        <v>2</v>
      </c>
      <c r="BX7" s="102">
        <v>0</v>
      </c>
      <c r="BY7" s="102">
        <v>1</v>
      </c>
      <c r="BZ7" s="102">
        <v>0</v>
      </c>
      <c r="CA7" s="102">
        <v>1</v>
      </c>
      <c r="CB7" s="102">
        <v>1</v>
      </c>
      <c r="CE7" s="102">
        <f t="shared" ref="CE7:CN11" si="2">SUMIF($B$1:$CC$1,"&lt;="&amp;VALUE(RIGHT(CE$2,2)&amp;IF(LEFT(CE$2,2)="1S",2,IF(LEFT(CE$2,2)="9M",3,4))),$B7:$CC7)-
SUMIF($B$1:$CC$1,"&lt;"&amp;VALUE(RIGHT(CE$2,2))&amp;"0",$B7:$CC7)</f>
        <v>4</v>
      </c>
      <c r="CF7" s="102">
        <f t="shared" si="2"/>
        <v>8</v>
      </c>
      <c r="CG7" s="102">
        <f t="shared" si="2"/>
        <v>21</v>
      </c>
      <c r="CH7" s="102">
        <f t="shared" si="2"/>
        <v>9</v>
      </c>
      <c r="CI7" s="102">
        <f t="shared" si="2"/>
        <v>20</v>
      </c>
      <c r="CJ7" s="102">
        <f t="shared" si="2"/>
        <v>27</v>
      </c>
      <c r="CK7" s="102">
        <f t="shared" si="2"/>
        <v>4</v>
      </c>
      <c r="CL7" s="102">
        <f t="shared" si="2"/>
        <v>6</v>
      </c>
      <c r="CM7" s="102">
        <f t="shared" si="2"/>
        <v>7</v>
      </c>
      <c r="CN7" s="102">
        <f t="shared" si="2"/>
        <v>10</v>
      </c>
      <c r="CO7" s="102">
        <f t="shared" ref="CO7:CX11" si="3">SUMIF($B$1:$CC$1,"&lt;="&amp;VALUE(RIGHT(CO$2,2)&amp;IF(LEFT(CO$2,2)="1S",2,IF(LEFT(CO$2,2)="9M",3,4))),$B7:$CC7)-
SUMIF($B$1:$CC$1,"&lt;"&amp;VALUE(RIGHT(CO$2,2))&amp;"0",$B7:$CC7)</f>
        <v>17</v>
      </c>
      <c r="CP7" s="102">
        <f t="shared" si="3"/>
        <v>30</v>
      </c>
      <c r="CQ7" s="102">
        <f t="shared" si="3"/>
        <v>18</v>
      </c>
      <c r="CR7" s="102">
        <f t="shared" si="3"/>
        <v>24</v>
      </c>
      <c r="CS7" s="102">
        <f t="shared" si="3"/>
        <v>38</v>
      </c>
      <c r="CT7" s="102">
        <f t="shared" si="3"/>
        <v>3</v>
      </c>
      <c r="CU7" s="102">
        <f t="shared" si="3"/>
        <v>8</v>
      </c>
      <c r="CV7" s="102">
        <f t="shared" si="3"/>
        <v>14</v>
      </c>
      <c r="CW7" s="102">
        <f t="shared" si="3"/>
        <v>10</v>
      </c>
      <c r="CX7" s="102">
        <f t="shared" si="3"/>
        <v>14</v>
      </c>
      <c r="CY7" s="102">
        <f t="shared" ref="CY7:DH11" si="4">SUMIF($B$1:$CC$1,"&lt;="&amp;VALUE(RIGHT(CY$2,2)&amp;IF(LEFT(CY$2,2)="1S",2,IF(LEFT(CY$2,2)="9M",3,4))),$B7:$CC7)-
SUMIF($B$1:$CC$1,"&lt;"&amp;VALUE(RIGHT(CY$2,2))&amp;"0",$B7:$CC7)</f>
        <v>18</v>
      </c>
      <c r="CZ7" s="102">
        <f t="shared" si="4"/>
        <v>7</v>
      </c>
      <c r="DA7" s="102">
        <f t="shared" si="4"/>
        <v>7</v>
      </c>
      <c r="DB7" s="102">
        <f t="shared" si="4"/>
        <v>10</v>
      </c>
      <c r="DC7" s="102">
        <f t="shared" si="4"/>
        <v>0</v>
      </c>
      <c r="DD7" s="102">
        <f t="shared" si="4"/>
        <v>1</v>
      </c>
      <c r="DE7" s="102">
        <f t="shared" si="4"/>
        <v>1</v>
      </c>
      <c r="DF7" s="102">
        <f t="shared" si="4"/>
        <v>0</v>
      </c>
      <c r="DG7" s="102">
        <f t="shared" si="4"/>
        <v>2</v>
      </c>
      <c r="DH7" s="102">
        <f t="shared" si="4"/>
        <v>6</v>
      </c>
      <c r="DI7" s="102">
        <f t="shared" ref="DI7:DR11" si="5">SUMIF($B$1:$CC$1,"&lt;="&amp;VALUE(RIGHT(DI$2,2)&amp;IF(LEFT(DI$2,2)="1S",2,IF(LEFT(DI$2,2)="9M",3,4))),$B7:$CC7)-
SUMIF($B$1:$CC$1,"&lt;"&amp;VALUE(RIGHT(DI$2,2))&amp;"0",$B7:$CC7)</f>
        <v>0</v>
      </c>
      <c r="DJ7" s="102">
        <f t="shared" si="5"/>
        <v>0</v>
      </c>
      <c r="DK7" s="102">
        <f t="shared" si="5"/>
        <v>0</v>
      </c>
      <c r="DL7" s="102">
        <f t="shared" si="5"/>
        <v>0</v>
      </c>
      <c r="DM7" s="102">
        <f t="shared" si="5"/>
        <v>0</v>
      </c>
      <c r="DN7" s="102">
        <f t="shared" si="5"/>
        <v>0</v>
      </c>
      <c r="DO7" s="102">
        <f t="shared" si="5"/>
        <v>3</v>
      </c>
      <c r="DP7" s="102">
        <f t="shared" si="5"/>
        <v>3</v>
      </c>
      <c r="DQ7" s="102">
        <f t="shared" si="5"/>
        <v>4</v>
      </c>
      <c r="DR7" s="102">
        <f t="shared" si="5"/>
        <v>1</v>
      </c>
      <c r="DS7" s="102">
        <f t="shared" ref="DS7:EB11" si="6">SUMIF($B$1:$CC$1,"&lt;="&amp;VALUE(RIGHT(DS$2,2)&amp;IF(LEFT(DS$2,2)="1S",2,IF(LEFT(DS$2,2)="9M",3,4))),$B7:$CC7)-
SUMIF($B$1:$CC$1,"&lt;"&amp;VALUE(RIGHT(DS$2,2))&amp;"0",$B7:$CC7)</f>
        <v>1</v>
      </c>
      <c r="DT7" s="102">
        <f t="shared" si="6"/>
        <v>3</v>
      </c>
      <c r="DU7" s="102">
        <f t="shared" si="6"/>
        <v>1</v>
      </c>
      <c r="DV7" s="102">
        <f t="shared" si="6"/>
        <v>3</v>
      </c>
      <c r="DW7" s="102">
        <f t="shared" si="6"/>
        <v>5</v>
      </c>
      <c r="DX7" s="102">
        <f t="shared" si="6"/>
        <v>0</v>
      </c>
      <c r="DY7" s="102">
        <f t="shared" si="6"/>
        <v>2</v>
      </c>
      <c r="DZ7" s="102">
        <f t="shared" si="6"/>
        <v>4</v>
      </c>
      <c r="EA7" s="102">
        <f t="shared" si="6"/>
        <v>0</v>
      </c>
      <c r="EB7" s="102">
        <f t="shared" si="6"/>
        <v>0</v>
      </c>
      <c r="EC7" s="102">
        <f t="shared" ref="EC7:EI11" si="7">SUMIF($B$1:$CC$1,"&lt;="&amp;VALUE(RIGHT(EC$2,2)&amp;IF(LEFT(EC$2,2)="1S",2,IF(LEFT(EC$2,2)="9M",3,4))),$B7:$CC7)-
SUMIF($B$1:$CC$1,"&lt;"&amp;VALUE(RIGHT(EC$2,2))&amp;"0",$B7:$CC7)</f>
        <v>1</v>
      </c>
      <c r="ED7" s="102">
        <f t="shared" si="7"/>
        <v>3</v>
      </c>
      <c r="EE7" s="102">
        <f t="shared" si="7"/>
        <v>5</v>
      </c>
      <c r="EF7" s="102">
        <f t="shared" si="7"/>
        <v>5</v>
      </c>
      <c r="EG7" s="102">
        <f t="shared" si="7"/>
        <v>1</v>
      </c>
      <c r="EH7" s="102">
        <f t="shared" si="7"/>
        <v>2</v>
      </c>
      <c r="EI7" s="102">
        <f t="shared" si="7"/>
        <v>3</v>
      </c>
    </row>
    <row r="8" spans="1:139" x14ac:dyDescent="0.3">
      <c r="B8" s="63" t="s">
        <v>131</v>
      </c>
      <c r="C8" s="133" t="s">
        <v>508</v>
      </c>
      <c r="D8" s="133" t="str">
        <f>IF(Menu!$D$12="PT",B8,C8)</f>
        <v>Unidades lançadas</v>
      </c>
      <c r="E8" s="61">
        <v>64</v>
      </c>
      <c r="F8" s="61">
        <v>164</v>
      </c>
      <c r="G8" s="61">
        <v>874</v>
      </c>
      <c r="H8" s="61">
        <v>2901</v>
      </c>
      <c r="I8" s="61">
        <v>424</v>
      </c>
      <c r="J8" s="61">
        <v>1532</v>
      </c>
      <c r="K8" s="61">
        <v>1306</v>
      </c>
      <c r="L8" s="61">
        <v>2581</v>
      </c>
      <c r="M8" s="61">
        <v>661</v>
      </c>
      <c r="N8" s="61">
        <v>518</v>
      </c>
      <c r="O8" s="61">
        <v>425</v>
      </c>
      <c r="P8" s="61">
        <v>106</v>
      </c>
      <c r="Q8" s="61">
        <v>1282</v>
      </c>
      <c r="R8" s="61">
        <v>1155</v>
      </c>
      <c r="S8" s="61">
        <v>2223</v>
      </c>
      <c r="T8" s="61">
        <v>4134</v>
      </c>
      <c r="U8" s="61">
        <v>1371</v>
      </c>
      <c r="V8" s="61">
        <v>1489</v>
      </c>
      <c r="W8" s="61">
        <v>1281</v>
      </c>
      <c r="X8" s="61">
        <v>3598</v>
      </c>
      <c r="Y8" s="61">
        <v>0</v>
      </c>
      <c r="Z8" s="61">
        <v>427</v>
      </c>
      <c r="AA8" s="61">
        <v>1234</v>
      </c>
      <c r="AB8" s="61">
        <v>1809</v>
      </c>
      <c r="AC8" s="61">
        <v>1012</v>
      </c>
      <c r="AD8" s="61">
        <v>1074</v>
      </c>
      <c r="AE8" s="61">
        <v>416</v>
      </c>
      <c r="AF8" s="61">
        <v>771</v>
      </c>
      <c r="AG8" s="61">
        <v>382</v>
      </c>
      <c r="AH8" s="61">
        <v>855</v>
      </c>
      <c r="AI8" s="61">
        <v>0</v>
      </c>
      <c r="AJ8" s="61">
        <f>SUMIF(Lançamentos!$C:$C,AJ2,Lançamentos!$G:$G)</f>
        <v>326</v>
      </c>
      <c r="AK8" s="61">
        <f>SUMIF(Lançamentos!$C:$C,AK2,Lançamentos!$G:$G)</f>
        <v>0</v>
      </c>
      <c r="AL8" s="61">
        <f>SUMIF(Lançamentos!$C:$C,AL2,Lançamentos!$G:$G)</f>
        <v>0</v>
      </c>
      <c r="AM8" s="61">
        <f>SUMIF(Lançamentos!$C:$C,AM2,Lançamentos!$G:$G)</f>
        <v>118</v>
      </c>
      <c r="AN8" s="61">
        <f>SUMIF(Lançamentos!$C:$C,AN2,Lançamentos!$G:$G)</f>
        <v>0</v>
      </c>
      <c r="AO8" s="61">
        <f>SUMIF(Lançamentos!$C:$C,AO2,Lançamentos!$G:$G)</f>
        <v>0</v>
      </c>
      <c r="AP8" s="61">
        <f>SUMIF(Lançamentos!$C:$C,AP2,Lançamentos!$G:$G)</f>
        <v>0</v>
      </c>
      <c r="AQ8" s="61">
        <f>SUMIF(Lançamentos!$C:$C,AQ2,Lançamentos!$G:$G)</f>
        <v>34</v>
      </c>
      <c r="AR8" s="61">
        <f>SUMIF(Lançamentos!$C:$C,AR2,Lançamentos!$G:$G)</f>
        <v>504</v>
      </c>
      <c r="AS8" s="61">
        <f>SUMIF(Lançamentos!$C:$C,AS2,Lançamentos!$G:$G)</f>
        <v>0</v>
      </c>
      <c r="AT8" s="61">
        <f>SUMIF(Lançamentos!$C:$C,AT2,Lançamentos!$G:$G)</f>
        <v>0</v>
      </c>
      <c r="AU8" s="61">
        <f>SUMIF(Lançamentos!$C:$C,AU2,Lançamentos!$G:$G)</f>
        <v>0</v>
      </c>
      <c r="AV8" s="61">
        <f>SUMIF(Lançamentos!$C:$C,AV2,Lançamentos!$G:$G)</f>
        <v>0</v>
      </c>
      <c r="AW8" s="61">
        <f>SUMIF(Lançamentos!$C:$C,AW2,Lançamentos!$G:$G)</f>
        <v>0</v>
      </c>
      <c r="AX8" s="61">
        <f>SUMIF(Lançamentos!$C:$C,AX2,Lançamentos!$G:$G)</f>
        <v>0</v>
      </c>
      <c r="AY8" s="61">
        <f>SUMIF(Lançamentos!$C:$C,AY2,Lançamentos!$G:$G)</f>
        <v>0</v>
      </c>
      <c r="AZ8" s="61">
        <f>SUMIF(Lançamentos!$C:$C,AZ2,Lançamentos!$G:$G)</f>
        <v>0</v>
      </c>
      <c r="BA8" s="61">
        <f>SUMIF(Lançamentos!$C:$C,BA2,Lançamentos!$G:$G)</f>
        <v>0</v>
      </c>
      <c r="BB8" s="61">
        <v>544</v>
      </c>
      <c r="BC8" s="61">
        <v>0</v>
      </c>
      <c r="BD8" s="61">
        <v>312</v>
      </c>
      <c r="BE8" s="61">
        <v>149</v>
      </c>
      <c r="BF8" s="61">
        <v>0</v>
      </c>
      <c r="BG8" s="61">
        <v>0</v>
      </c>
      <c r="BH8" s="102">
        <v>208</v>
      </c>
      <c r="BI8" s="102">
        <v>0</v>
      </c>
      <c r="BJ8" s="102">
        <v>231</v>
      </c>
      <c r="BK8" s="102">
        <v>494</v>
      </c>
      <c r="BL8" s="102">
        <v>297</v>
      </c>
      <c r="BM8" s="102">
        <v>0</v>
      </c>
      <c r="BN8" s="102">
        <v>0</v>
      </c>
      <c r="BO8" s="102">
        <v>281</v>
      </c>
      <c r="BP8" s="102">
        <v>131</v>
      </c>
      <c r="BQ8" s="102">
        <v>0</v>
      </c>
      <c r="BR8" s="102">
        <v>0</v>
      </c>
      <c r="BS8" s="102">
        <v>0</v>
      </c>
      <c r="BT8" s="102">
        <v>64</v>
      </c>
      <c r="BU8" s="102">
        <v>424</v>
      </c>
      <c r="BV8" s="102">
        <v>1089</v>
      </c>
      <c r="BW8" s="102">
        <v>1181</v>
      </c>
      <c r="BX8" s="102">
        <v>0</v>
      </c>
      <c r="BY8" s="102">
        <v>917</v>
      </c>
      <c r="BZ8" s="102">
        <v>0</v>
      </c>
      <c r="CA8" s="102">
        <v>315</v>
      </c>
      <c r="CB8" s="102">
        <v>32</v>
      </c>
      <c r="CE8" s="102">
        <f t="shared" si="2"/>
        <v>228</v>
      </c>
      <c r="CF8" s="102">
        <f t="shared" si="2"/>
        <v>1102</v>
      </c>
      <c r="CG8" s="102">
        <f t="shared" si="2"/>
        <v>4003</v>
      </c>
      <c r="CH8" s="102">
        <f t="shared" si="2"/>
        <v>1956</v>
      </c>
      <c r="CI8" s="102">
        <f t="shared" si="2"/>
        <v>3262</v>
      </c>
      <c r="CJ8" s="102">
        <f t="shared" si="2"/>
        <v>5843</v>
      </c>
      <c r="CK8" s="102">
        <f t="shared" si="2"/>
        <v>1179</v>
      </c>
      <c r="CL8" s="102">
        <f t="shared" si="2"/>
        <v>1604</v>
      </c>
      <c r="CM8" s="102">
        <f t="shared" si="2"/>
        <v>1710</v>
      </c>
      <c r="CN8" s="102">
        <f t="shared" si="2"/>
        <v>2437</v>
      </c>
      <c r="CO8" s="102">
        <f t="shared" si="3"/>
        <v>4660</v>
      </c>
      <c r="CP8" s="102">
        <f t="shared" si="3"/>
        <v>8794</v>
      </c>
      <c r="CQ8" s="102">
        <f t="shared" si="3"/>
        <v>2860</v>
      </c>
      <c r="CR8" s="102">
        <f t="shared" si="3"/>
        <v>4141</v>
      </c>
      <c r="CS8" s="102">
        <f t="shared" si="3"/>
        <v>7739</v>
      </c>
      <c r="CT8" s="102">
        <f t="shared" si="3"/>
        <v>427</v>
      </c>
      <c r="CU8" s="102">
        <f t="shared" si="3"/>
        <v>1661</v>
      </c>
      <c r="CV8" s="102">
        <f t="shared" si="3"/>
        <v>3470</v>
      </c>
      <c r="CW8" s="102">
        <f t="shared" si="3"/>
        <v>2086</v>
      </c>
      <c r="CX8" s="102">
        <f t="shared" si="3"/>
        <v>2502</v>
      </c>
      <c r="CY8" s="102">
        <f t="shared" si="4"/>
        <v>3273</v>
      </c>
      <c r="CZ8" s="102">
        <f t="shared" si="4"/>
        <v>1237</v>
      </c>
      <c r="DA8" s="102">
        <f t="shared" si="4"/>
        <v>1237</v>
      </c>
      <c r="DB8" s="102">
        <f t="shared" si="4"/>
        <v>1563</v>
      </c>
      <c r="DC8" s="102">
        <f t="shared" si="4"/>
        <v>0</v>
      </c>
      <c r="DD8" s="102">
        <f t="shared" si="4"/>
        <v>118</v>
      </c>
      <c r="DE8" s="102">
        <f t="shared" si="4"/>
        <v>118</v>
      </c>
      <c r="DF8" s="102">
        <f t="shared" si="4"/>
        <v>0</v>
      </c>
      <c r="DG8" s="102">
        <f t="shared" si="4"/>
        <v>34</v>
      </c>
      <c r="DH8" s="102">
        <f t="shared" si="4"/>
        <v>538</v>
      </c>
      <c r="DI8" s="102">
        <f t="shared" si="5"/>
        <v>0</v>
      </c>
      <c r="DJ8" s="102">
        <f t="shared" si="5"/>
        <v>0</v>
      </c>
      <c r="DK8" s="102">
        <f t="shared" si="5"/>
        <v>0</v>
      </c>
      <c r="DL8" s="102">
        <f t="shared" si="5"/>
        <v>0</v>
      </c>
      <c r="DM8" s="102">
        <f t="shared" si="5"/>
        <v>0</v>
      </c>
      <c r="DN8" s="102">
        <f t="shared" si="5"/>
        <v>0</v>
      </c>
      <c r="DO8" s="102">
        <f t="shared" si="5"/>
        <v>544</v>
      </c>
      <c r="DP8" s="102">
        <f t="shared" si="5"/>
        <v>544</v>
      </c>
      <c r="DQ8" s="102">
        <f t="shared" si="5"/>
        <v>856</v>
      </c>
      <c r="DR8" s="102">
        <f t="shared" si="5"/>
        <v>149</v>
      </c>
      <c r="DS8" s="102">
        <f t="shared" si="6"/>
        <v>149</v>
      </c>
      <c r="DT8" s="102">
        <f t="shared" si="6"/>
        <v>357</v>
      </c>
      <c r="DU8" s="102">
        <f t="shared" si="6"/>
        <v>231</v>
      </c>
      <c r="DV8" s="102">
        <f t="shared" si="6"/>
        <v>725</v>
      </c>
      <c r="DW8" s="102">
        <f t="shared" si="6"/>
        <v>1022</v>
      </c>
      <c r="DX8" s="102">
        <f t="shared" si="6"/>
        <v>0</v>
      </c>
      <c r="DY8" s="102">
        <f t="shared" si="6"/>
        <v>281</v>
      </c>
      <c r="DZ8" s="102">
        <f t="shared" si="6"/>
        <v>412</v>
      </c>
      <c r="EA8" s="102">
        <f t="shared" si="6"/>
        <v>0</v>
      </c>
      <c r="EB8" s="102">
        <f t="shared" si="6"/>
        <v>0</v>
      </c>
      <c r="EC8" s="102">
        <f t="shared" si="7"/>
        <v>64</v>
      </c>
      <c r="ED8" s="102">
        <f t="shared" si="7"/>
        <v>1513</v>
      </c>
      <c r="EE8" s="102">
        <f t="shared" si="7"/>
        <v>2694</v>
      </c>
      <c r="EF8" s="102">
        <f t="shared" si="7"/>
        <v>2694</v>
      </c>
      <c r="EG8" s="102">
        <f t="shared" si="7"/>
        <v>917</v>
      </c>
      <c r="EH8" s="102">
        <f t="shared" si="7"/>
        <v>1232</v>
      </c>
      <c r="EI8" s="102">
        <f t="shared" si="7"/>
        <v>1264</v>
      </c>
    </row>
    <row r="9" spans="1:139" x14ac:dyDescent="0.3">
      <c r="B9" s="63" t="s">
        <v>130</v>
      </c>
      <c r="C9" s="133" t="s">
        <v>509</v>
      </c>
      <c r="D9" s="133" t="str">
        <f>IF(Menu!$D$12="PT",B9,C9)</f>
        <v>Área útil lançada (m²)</v>
      </c>
      <c r="E9" s="61">
        <v>9216</v>
      </c>
      <c r="F9" s="61">
        <v>26748</v>
      </c>
      <c r="G9" s="61">
        <v>101019.14</v>
      </c>
      <c r="H9" s="61">
        <v>344844.14999999997</v>
      </c>
      <c r="I9" s="61">
        <v>71099.197361815342</v>
      </c>
      <c r="J9" s="61">
        <v>144308</v>
      </c>
      <c r="K9" s="61">
        <v>147797.6</v>
      </c>
      <c r="L9" s="61">
        <v>193159.3</v>
      </c>
      <c r="M9" s="61">
        <v>54300.5</v>
      </c>
      <c r="N9" s="61">
        <v>35948.240000000005</v>
      </c>
      <c r="O9" s="61">
        <v>31162.55</v>
      </c>
      <c r="P9" s="61">
        <v>20203</v>
      </c>
      <c r="Q9" s="61">
        <v>77013.368000000002</v>
      </c>
      <c r="R9" s="61">
        <v>75463.59</v>
      </c>
      <c r="S9" s="61">
        <v>179759.34</v>
      </c>
      <c r="T9" s="61">
        <v>309148.44499999995</v>
      </c>
      <c r="U9" s="61">
        <v>101542.53000000003</v>
      </c>
      <c r="V9" s="61">
        <v>119261.575</v>
      </c>
      <c r="W9" s="61">
        <v>88878.685980000009</v>
      </c>
      <c r="X9" s="61">
        <v>268630.96000000002</v>
      </c>
      <c r="Y9" s="61">
        <v>0</v>
      </c>
      <c r="Z9" s="61">
        <v>32257.559999999998</v>
      </c>
      <c r="AA9" s="61">
        <v>77091.350000000006</v>
      </c>
      <c r="AB9" s="61">
        <v>93805.400000000009</v>
      </c>
      <c r="AC9" s="61">
        <v>127689.67107007364</v>
      </c>
      <c r="AD9" s="61">
        <v>97379.981239688757</v>
      </c>
      <c r="AE9" s="61">
        <v>61593.40769023756</v>
      </c>
      <c r="AF9" s="61">
        <v>40742.729999999996</v>
      </c>
      <c r="AG9" s="61">
        <v>19558.660830174165</v>
      </c>
      <c r="AH9" s="61">
        <v>49832.869999999988</v>
      </c>
      <c r="AI9" s="61">
        <v>0</v>
      </c>
      <c r="AJ9" s="61">
        <f>SUMIF(Lançamentos!$C:$C,AJ$2,Lançamentos!$K:$K)</f>
        <v>24900.560000000001</v>
      </c>
      <c r="AK9" s="61">
        <f>SUMIF(Lançamentos!$C:$C,AK$2,Lançamentos!$K:$K)</f>
        <v>0</v>
      </c>
      <c r="AL9" s="61">
        <f>SUMIF(Lançamentos!$C:$C,AL$2,Lançamentos!$K:$K)</f>
        <v>0</v>
      </c>
      <c r="AM9" s="61">
        <f>SUMIF(Lançamentos!$C:$C,AM$2,Lançamentos!$K:$K)</f>
        <v>5708.6</v>
      </c>
      <c r="AN9" s="61">
        <f>SUMIF(Lançamentos!$C:$C,AN$2,Lançamentos!$K:$K)</f>
        <v>0</v>
      </c>
      <c r="AO9" s="61">
        <f>SUMIF(Lançamentos!$C:$C,AO$2,Lançamentos!$K:$K)</f>
        <v>0</v>
      </c>
      <c r="AP9" s="61">
        <f>SUMIF(Lançamentos!$C:$C,AP$2,Lançamentos!$K:$K)</f>
        <v>0</v>
      </c>
      <c r="AQ9" s="61">
        <f>SUMIF(Lançamentos!$C:$C,AQ$2,Lançamentos!$K:$K)</f>
        <v>7693.3741666666665</v>
      </c>
      <c r="AR9" s="61">
        <f>SUMIF(Lançamentos!$C:$C,AR$2,Lançamentos!$K:$K)</f>
        <v>147954.14206777466</v>
      </c>
      <c r="AS9" s="61">
        <f>SUMIF(Lançamentos!$C:$C,AS$2,Lançamentos!$K:$K)</f>
        <v>0</v>
      </c>
      <c r="AT9" s="61">
        <f>SUMIF(Lançamentos!$C:$C,AT$2,Lançamentos!$K:$K)</f>
        <v>0</v>
      </c>
      <c r="AU9" s="61">
        <f>SUMIF(Lançamentos!$C:$C,AU$2,Lançamentos!$K:$K)</f>
        <v>0</v>
      </c>
      <c r="AV9" s="61">
        <f>SUMIF(Lançamentos!$C:$C,AV$2,Lançamentos!$K:$K)</f>
        <v>0</v>
      </c>
      <c r="AW9" s="61">
        <f>SUMIF(Lançamentos!$C:$C,AW$2,Lançamentos!$K:$K)</f>
        <v>0</v>
      </c>
      <c r="AX9" s="61">
        <f>SUMIF(Lançamentos!$C:$C,AX$2,Lançamentos!$K:$K)</f>
        <v>0</v>
      </c>
      <c r="AY9" s="61">
        <f>SUMIF(Lançamentos!$C:$C,AY$2,Lançamentos!$K:$K)</f>
        <v>0</v>
      </c>
      <c r="AZ9" s="61">
        <f>SUMIF(Lançamentos!$C:$C,AZ$2,Lançamentos!$K:$K)</f>
        <v>0</v>
      </c>
      <c r="BA9" s="61">
        <f>SUMIF(Lançamentos!$C:$C,BA$2,Lançamentos!$K:$K)</f>
        <v>0</v>
      </c>
      <c r="BB9" s="61">
        <v>40789.46</v>
      </c>
      <c r="BC9" s="61">
        <v>0</v>
      </c>
      <c r="BD9" s="61">
        <v>8726.9699999999993</v>
      </c>
      <c r="BE9" s="61">
        <v>6547.87</v>
      </c>
      <c r="BF9" s="61">
        <v>0</v>
      </c>
      <c r="BG9" s="61">
        <v>0</v>
      </c>
      <c r="BH9" s="102">
        <v>26107.939999999995</v>
      </c>
      <c r="BI9" s="102">
        <v>0</v>
      </c>
      <c r="BJ9" s="102">
        <v>13473.09</v>
      </c>
      <c r="BK9" s="102">
        <v>24242</v>
      </c>
      <c r="BL9" s="102">
        <v>39157.079999999994</v>
      </c>
      <c r="BM9" s="102">
        <v>0</v>
      </c>
      <c r="BN9" s="102">
        <v>0</v>
      </c>
      <c r="BO9" s="102">
        <v>25258.47</v>
      </c>
      <c r="BP9" s="102">
        <v>29670.79</v>
      </c>
      <c r="BQ9" s="102">
        <v>0</v>
      </c>
      <c r="BR9" s="102">
        <v>0</v>
      </c>
      <c r="BS9" s="102">
        <v>0</v>
      </c>
      <c r="BT9" s="102">
        <v>15788.830000000002</v>
      </c>
      <c r="BU9" s="102">
        <v>41352.299999999996</v>
      </c>
      <c r="BV9" s="102">
        <v>58382</v>
      </c>
      <c r="BW9" s="102">
        <v>74723.88</v>
      </c>
      <c r="BX9" s="102">
        <v>0</v>
      </c>
      <c r="BY9" s="102">
        <v>35304.5</v>
      </c>
      <c r="BZ9" s="102">
        <v>0</v>
      </c>
      <c r="CA9" s="102">
        <v>10237.5</v>
      </c>
      <c r="CB9" s="102">
        <v>3129.9599999999996</v>
      </c>
      <c r="CE9" s="102">
        <f t="shared" si="2"/>
        <v>35964</v>
      </c>
      <c r="CF9" s="102">
        <f t="shared" si="2"/>
        <v>136983.14000000001</v>
      </c>
      <c r="CG9" s="102">
        <f t="shared" si="2"/>
        <v>481827.29</v>
      </c>
      <c r="CH9" s="102">
        <f t="shared" si="2"/>
        <v>215407.19736181531</v>
      </c>
      <c r="CI9" s="102">
        <f t="shared" si="2"/>
        <v>363204.79736181529</v>
      </c>
      <c r="CJ9" s="102">
        <f t="shared" si="2"/>
        <v>556364.09736181516</v>
      </c>
      <c r="CK9" s="102">
        <f t="shared" si="2"/>
        <v>90248.739999999991</v>
      </c>
      <c r="CL9" s="102">
        <f t="shared" si="2"/>
        <v>121411.29000000004</v>
      </c>
      <c r="CM9" s="102">
        <f t="shared" si="2"/>
        <v>141614.29000000004</v>
      </c>
      <c r="CN9" s="102">
        <f t="shared" si="2"/>
        <v>152476.9580000001</v>
      </c>
      <c r="CO9" s="102">
        <f t="shared" si="3"/>
        <v>332236.29800000018</v>
      </c>
      <c r="CP9" s="102">
        <f t="shared" si="3"/>
        <v>641384.74300000025</v>
      </c>
      <c r="CQ9" s="102">
        <f t="shared" si="3"/>
        <v>220804.10499999998</v>
      </c>
      <c r="CR9" s="102">
        <f t="shared" si="3"/>
        <v>309682.79098000005</v>
      </c>
      <c r="CS9" s="102">
        <f t="shared" si="3"/>
        <v>578313.75098000001</v>
      </c>
      <c r="CT9" s="102">
        <f t="shared" si="3"/>
        <v>32257.560000000056</v>
      </c>
      <c r="CU9" s="102">
        <f t="shared" si="3"/>
        <v>109348.91000000015</v>
      </c>
      <c r="CV9" s="102">
        <f t="shared" si="3"/>
        <v>203154.31000000006</v>
      </c>
      <c r="CW9" s="102">
        <f t="shared" si="3"/>
        <v>225069.65230976231</v>
      </c>
      <c r="CX9" s="102">
        <f t="shared" si="3"/>
        <v>286663.06000000006</v>
      </c>
      <c r="CY9" s="102">
        <f t="shared" si="4"/>
        <v>327405.79000000004</v>
      </c>
      <c r="CZ9" s="102">
        <f t="shared" si="4"/>
        <v>69391.530830174219</v>
      </c>
      <c r="DA9" s="102">
        <f t="shared" si="4"/>
        <v>69391.530830174219</v>
      </c>
      <c r="DB9" s="102">
        <f t="shared" si="4"/>
        <v>94292.090830174275</v>
      </c>
      <c r="DC9" s="102">
        <f t="shared" si="4"/>
        <v>0</v>
      </c>
      <c r="DD9" s="102">
        <f t="shared" si="4"/>
        <v>5708.6000000000931</v>
      </c>
      <c r="DE9" s="102">
        <f t="shared" si="4"/>
        <v>5708.6000000000931</v>
      </c>
      <c r="DF9" s="102">
        <f t="shared" si="4"/>
        <v>0</v>
      </c>
      <c r="DG9" s="102">
        <f t="shared" si="4"/>
        <v>7693.3741666665301</v>
      </c>
      <c r="DH9" s="102">
        <f t="shared" si="4"/>
        <v>155647.51623444119</v>
      </c>
      <c r="DI9" s="102">
        <f t="shared" si="5"/>
        <v>0</v>
      </c>
      <c r="DJ9" s="102">
        <f t="shared" si="5"/>
        <v>0</v>
      </c>
      <c r="DK9" s="102">
        <f t="shared" si="5"/>
        <v>0</v>
      </c>
      <c r="DL9" s="102">
        <f t="shared" si="5"/>
        <v>0</v>
      </c>
      <c r="DM9" s="102">
        <f t="shared" si="5"/>
        <v>0</v>
      </c>
      <c r="DN9" s="102">
        <f t="shared" si="5"/>
        <v>0</v>
      </c>
      <c r="DO9" s="102">
        <f t="shared" si="5"/>
        <v>40789.459999999963</v>
      </c>
      <c r="DP9" s="102">
        <f t="shared" si="5"/>
        <v>40789.459999999963</v>
      </c>
      <c r="DQ9" s="102">
        <f t="shared" si="5"/>
        <v>49516.430000000168</v>
      </c>
      <c r="DR9" s="102">
        <f t="shared" si="5"/>
        <v>6547.8700000001118</v>
      </c>
      <c r="DS9" s="102">
        <f t="shared" si="6"/>
        <v>6547.8700000001118</v>
      </c>
      <c r="DT9" s="102">
        <f t="shared" si="6"/>
        <v>32655.810000000056</v>
      </c>
      <c r="DU9" s="102">
        <f t="shared" si="6"/>
        <v>13473.089999999851</v>
      </c>
      <c r="DV9" s="102">
        <f t="shared" si="6"/>
        <v>37715.089999999851</v>
      </c>
      <c r="DW9" s="102">
        <f t="shared" si="6"/>
        <v>76872.169999999925</v>
      </c>
      <c r="DX9" s="102">
        <f t="shared" si="6"/>
        <v>0</v>
      </c>
      <c r="DY9" s="102">
        <f t="shared" si="6"/>
        <v>25258.470000000205</v>
      </c>
      <c r="DZ9" s="102">
        <f t="shared" si="6"/>
        <v>54929.260000000242</v>
      </c>
      <c r="EA9" s="102">
        <f t="shared" si="6"/>
        <v>0</v>
      </c>
      <c r="EB9" s="102">
        <f t="shared" si="6"/>
        <v>0</v>
      </c>
      <c r="EC9" s="102">
        <f t="shared" si="7"/>
        <v>15788.830000000075</v>
      </c>
      <c r="ED9" s="102">
        <f t="shared" si="7"/>
        <v>99734.299999999814</v>
      </c>
      <c r="EE9" s="102">
        <f t="shared" si="7"/>
        <v>174458.1799999997</v>
      </c>
      <c r="EF9" s="102">
        <f t="shared" si="7"/>
        <v>174458.1799999997</v>
      </c>
      <c r="EG9" s="102">
        <f t="shared" si="7"/>
        <v>35304.5</v>
      </c>
      <c r="EH9" s="102">
        <f t="shared" si="7"/>
        <v>45542</v>
      </c>
      <c r="EI9" s="102">
        <f t="shared" si="7"/>
        <v>48671.959999999963</v>
      </c>
    </row>
    <row r="10" spans="1:139" x14ac:dyDescent="0.3">
      <c r="B10" s="63" t="s">
        <v>129</v>
      </c>
      <c r="C10" s="133" t="s">
        <v>510</v>
      </c>
      <c r="D10" s="133" t="str">
        <f>IF(Menu!$D$12="PT",B10,C10)</f>
        <v>VGV lançado (R$ mil) - 100%</v>
      </c>
      <c r="E10" s="61">
        <v>17504</v>
      </c>
      <c r="F10" s="61">
        <v>98072</v>
      </c>
      <c r="G10" s="61">
        <v>304345</v>
      </c>
      <c r="H10" s="61">
        <v>988153.99999999988</v>
      </c>
      <c r="I10" s="61">
        <v>244290</v>
      </c>
      <c r="J10" s="61">
        <v>399270</v>
      </c>
      <c r="K10" s="61">
        <v>419900</v>
      </c>
      <c r="L10" s="61">
        <v>825950</v>
      </c>
      <c r="M10" s="61">
        <v>227700</v>
      </c>
      <c r="N10" s="61">
        <v>93061</v>
      </c>
      <c r="O10" s="61">
        <v>96798</v>
      </c>
      <c r="P10" s="61">
        <v>75000</v>
      </c>
      <c r="Q10" s="61">
        <v>208089.00000000003</v>
      </c>
      <c r="R10" s="61">
        <v>274766</v>
      </c>
      <c r="S10" s="61">
        <v>649244</v>
      </c>
      <c r="T10" s="61">
        <v>1294398.0000000002</v>
      </c>
      <c r="U10" s="61">
        <v>431232</v>
      </c>
      <c r="V10" s="61">
        <v>501111.99999999994</v>
      </c>
      <c r="W10" s="61">
        <v>492352</v>
      </c>
      <c r="X10" s="61">
        <v>1407828.0000000002</v>
      </c>
      <c r="Y10" s="61">
        <v>0</v>
      </c>
      <c r="Z10" s="61">
        <v>177267</v>
      </c>
      <c r="AA10" s="61">
        <v>452234.00000000006</v>
      </c>
      <c r="AB10" s="61">
        <v>569453</v>
      </c>
      <c r="AC10" s="61">
        <v>924065</v>
      </c>
      <c r="AD10" s="61">
        <v>798609</v>
      </c>
      <c r="AE10" s="61">
        <v>506796</v>
      </c>
      <c r="AF10" s="61">
        <v>292048</v>
      </c>
      <c r="AG10" s="61">
        <v>117487.33877</v>
      </c>
      <c r="AH10" s="61">
        <v>454111.47242599993</v>
      </c>
      <c r="AI10" s="61">
        <v>0</v>
      </c>
      <c r="AJ10" s="61">
        <f>SUMIF(Lançamentos!$C:$C,AJ$2,Lançamentos!$I:$I)*1000</f>
        <v>172998.82000000004</v>
      </c>
      <c r="AK10" s="61">
        <f>SUMIF(Lançamentos!$C:$C,AK$2,Lançamentos!$I:$I)*1000</f>
        <v>0</v>
      </c>
      <c r="AL10" s="61">
        <f>SUMIF(Lançamentos!$C:$C,AL$2,Lançamentos!$I:$I)*1000</f>
        <v>0</v>
      </c>
      <c r="AM10" s="61">
        <f>SUMIF(Lançamentos!$C:$C,AM$2,Lançamentos!$I:$I)*1000</f>
        <v>27342.76</v>
      </c>
      <c r="AN10" s="61">
        <f>SUMIF(Lançamentos!$C:$C,AN$2,Lançamentos!$I:$I)*1000</f>
        <v>0</v>
      </c>
      <c r="AO10" s="61">
        <f>SUMIF(Lançamentos!$C:$C,AO$2,Lançamentos!$I:$I)*1000</f>
        <v>0</v>
      </c>
      <c r="AP10" s="61">
        <f>SUMIF(Lançamentos!$C:$C,AP$2,Lançamentos!$I:$I)*1000</f>
        <v>0</v>
      </c>
      <c r="AQ10" s="61">
        <f>SUMIF(Lançamentos!$C:$C,AQ$2,Lançamentos!$I:$I)*1000</f>
        <v>88855.487750000015</v>
      </c>
      <c r="AR10" s="61">
        <f>SUMIF(Lançamentos!$C:$C,AR$2,Lançamentos!$I:$I)*1000</f>
        <v>315379.8796650882</v>
      </c>
      <c r="AS10" s="61">
        <f>SUMIF(Lançamentos!$C:$C,AS$2,Lançamentos!$I:$I)*1000</f>
        <v>0</v>
      </c>
      <c r="AT10" s="61">
        <f>SUMIF(Lançamentos!$C:$C,AT$2,Lançamentos!$I:$I)*1000</f>
        <v>0</v>
      </c>
      <c r="AU10" s="61">
        <f>SUMIF(Lançamentos!$C:$C,AU$2,Lançamentos!$I:$I)*1000</f>
        <v>0</v>
      </c>
      <c r="AV10" s="61">
        <f>SUMIF(Lançamentos!$C:$C,AV$2,Lançamentos!$I:$I)*1000</f>
        <v>0</v>
      </c>
      <c r="AW10" s="61">
        <f>SUMIF(Lançamentos!$C:$C,AW$2,Lançamentos!$I:$I)*1000</f>
        <v>0</v>
      </c>
      <c r="AX10" s="61">
        <f>SUMIF(Lançamentos!$C:$C,AX$2,Lançamentos!$I:$I)*1000</f>
        <v>0</v>
      </c>
      <c r="AY10" s="61">
        <f>SUMIF(Lançamentos!$C:$C,AY$2,Lançamentos!$I:$I)*1000</f>
        <v>0</v>
      </c>
      <c r="AZ10" s="61">
        <f>SUMIF(Lançamentos!$C:$C,AZ$2,Lançamentos!$I:$I)*1000</f>
        <v>0</v>
      </c>
      <c r="BA10" s="61">
        <f>SUMIF(Lançamentos!$C:$C,BA$2,Lançamentos!$I:$I)*1000</f>
        <v>0</v>
      </c>
      <c r="BB10" s="61">
        <v>260610.74000000002</v>
      </c>
      <c r="BC10" s="61">
        <v>0</v>
      </c>
      <c r="BD10" s="61">
        <v>83429.719999999972</v>
      </c>
      <c r="BE10" s="61">
        <v>33937.959999999992</v>
      </c>
      <c r="BF10" s="61">
        <v>0</v>
      </c>
      <c r="BG10" s="61">
        <v>0</v>
      </c>
      <c r="BH10" s="102">
        <v>264000</v>
      </c>
      <c r="BI10" s="102">
        <v>0</v>
      </c>
      <c r="BJ10" s="102">
        <v>164770</v>
      </c>
      <c r="BK10" s="102">
        <v>287900</v>
      </c>
      <c r="BL10" s="102">
        <v>486932.29451181798</v>
      </c>
      <c r="BM10" s="102">
        <v>0</v>
      </c>
      <c r="BN10" s="102">
        <v>0</v>
      </c>
      <c r="BO10" s="102">
        <v>325400</v>
      </c>
      <c r="BP10" s="102">
        <v>668000</v>
      </c>
      <c r="BQ10" s="102">
        <v>0</v>
      </c>
      <c r="BR10" s="102">
        <v>0</v>
      </c>
      <c r="BS10" s="102">
        <v>0</v>
      </c>
      <c r="BT10" s="102">
        <v>211000</v>
      </c>
      <c r="BU10" s="102">
        <v>583000</v>
      </c>
      <c r="BV10" s="102">
        <v>655788.39199999999</v>
      </c>
      <c r="BW10" s="102">
        <v>790293</v>
      </c>
      <c r="BX10" s="102">
        <v>0</v>
      </c>
      <c r="BY10" s="102">
        <v>202776</v>
      </c>
      <c r="BZ10" s="102">
        <v>0</v>
      </c>
      <c r="CA10" s="102">
        <v>90000</v>
      </c>
      <c r="CB10" s="102">
        <v>111000</v>
      </c>
      <c r="CE10" s="102">
        <f t="shared" si="2"/>
        <v>115576</v>
      </c>
      <c r="CF10" s="102">
        <f t="shared" si="2"/>
        <v>419921</v>
      </c>
      <c r="CG10" s="102">
        <f t="shared" si="2"/>
        <v>1408075</v>
      </c>
      <c r="CH10" s="102">
        <f t="shared" si="2"/>
        <v>643560</v>
      </c>
      <c r="CI10" s="102">
        <f t="shared" si="2"/>
        <v>1063460</v>
      </c>
      <c r="CJ10" s="102">
        <f t="shared" si="2"/>
        <v>1889410</v>
      </c>
      <c r="CK10" s="102">
        <f t="shared" si="2"/>
        <v>320761</v>
      </c>
      <c r="CL10" s="102">
        <f t="shared" si="2"/>
        <v>417559</v>
      </c>
      <c r="CM10" s="102">
        <f t="shared" si="2"/>
        <v>492559</v>
      </c>
      <c r="CN10" s="102">
        <f t="shared" si="2"/>
        <v>482855</v>
      </c>
      <c r="CO10" s="102">
        <f t="shared" si="3"/>
        <v>1132099</v>
      </c>
      <c r="CP10" s="102">
        <f t="shared" si="3"/>
        <v>2426497</v>
      </c>
      <c r="CQ10" s="102">
        <f t="shared" si="3"/>
        <v>932344</v>
      </c>
      <c r="CR10" s="102">
        <f t="shared" si="3"/>
        <v>1424696</v>
      </c>
      <c r="CS10" s="102">
        <f t="shared" si="3"/>
        <v>2832524</v>
      </c>
      <c r="CT10" s="102">
        <f t="shared" si="3"/>
        <v>177267</v>
      </c>
      <c r="CU10" s="102">
        <f t="shared" si="3"/>
        <v>629501</v>
      </c>
      <c r="CV10" s="102">
        <f t="shared" si="3"/>
        <v>1198954</v>
      </c>
      <c r="CW10" s="102">
        <f t="shared" si="3"/>
        <v>1722674</v>
      </c>
      <c r="CX10" s="102">
        <f t="shared" si="3"/>
        <v>2229470</v>
      </c>
      <c r="CY10" s="102">
        <f t="shared" si="4"/>
        <v>2521518</v>
      </c>
      <c r="CZ10" s="102">
        <f t="shared" si="4"/>
        <v>571598.81119599938</v>
      </c>
      <c r="DA10" s="102">
        <f t="shared" si="4"/>
        <v>571598.81119599938</v>
      </c>
      <c r="DB10" s="102">
        <f t="shared" si="4"/>
        <v>744597.63119599968</v>
      </c>
      <c r="DC10" s="102">
        <f t="shared" si="4"/>
        <v>0</v>
      </c>
      <c r="DD10" s="102">
        <f t="shared" si="4"/>
        <v>27342.759999999776</v>
      </c>
      <c r="DE10" s="102">
        <f t="shared" si="4"/>
        <v>27342.759999999776</v>
      </c>
      <c r="DF10" s="102">
        <f t="shared" si="4"/>
        <v>0</v>
      </c>
      <c r="DG10" s="102">
        <f t="shared" si="4"/>
        <v>88855.487749999389</v>
      </c>
      <c r="DH10" s="102">
        <f t="shared" si="4"/>
        <v>404235.3674150873</v>
      </c>
      <c r="DI10" s="102">
        <f t="shared" si="5"/>
        <v>0</v>
      </c>
      <c r="DJ10" s="102">
        <f t="shared" si="5"/>
        <v>0</v>
      </c>
      <c r="DK10" s="102">
        <f t="shared" si="5"/>
        <v>0</v>
      </c>
      <c r="DL10" s="102">
        <f t="shared" si="5"/>
        <v>0</v>
      </c>
      <c r="DM10" s="102">
        <f t="shared" si="5"/>
        <v>0</v>
      </c>
      <c r="DN10" s="102">
        <f t="shared" si="5"/>
        <v>0</v>
      </c>
      <c r="DO10" s="102">
        <f t="shared" si="5"/>
        <v>260610.74000000022</v>
      </c>
      <c r="DP10" s="102">
        <f t="shared" si="5"/>
        <v>260610.74000000022</v>
      </c>
      <c r="DQ10" s="102">
        <f t="shared" si="5"/>
        <v>344040.46000000089</v>
      </c>
      <c r="DR10" s="102">
        <f t="shared" si="5"/>
        <v>33937.960000000894</v>
      </c>
      <c r="DS10" s="102">
        <f t="shared" si="6"/>
        <v>33937.960000000894</v>
      </c>
      <c r="DT10" s="102">
        <f t="shared" si="6"/>
        <v>297937.96000000089</v>
      </c>
      <c r="DU10" s="102">
        <f t="shared" si="6"/>
        <v>164770</v>
      </c>
      <c r="DV10" s="102">
        <f t="shared" si="6"/>
        <v>452670</v>
      </c>
      <c r="DW10" s="102">
        <f t="shared" si="6"/>
        <v>939602.2945118174</v>
      </c>
      <c r="DX10" s="102">
        <f t="shared" si="6"/>
        <v>0</v>
      </c>
      <c r="DY10" s="102">
        <f t="shared" si="6"/>
        <v>325400</v>
      </c>
      <c r="DZ10" s="102">
        <f t="shared" si="6"/>
        <v>993400</v>
      </c>
      <c r="EA10" s="102">
        <f t="shared" si="6"/>
        <v>0</v>
      </c>
      <c r="EB10" s="102">
        <f t="shared" si="6"/>
        <v>0</v>
      </c>
      <c r="EC10" s="102">
        <f t="shared" si="7"/>
        <v>211000</v>
      </c>
      <c r="ED10" s="102">
        <f t="shared" si="7"/>
        <v>1238788.3920000009</v>
      </c>
      <c r="EE10" s="102">
        <f t="shared" si="7"/>
        <v>2029081.3920000009</v>
      </c>
      <c r="EF10" s="102">
        <f t="shared" si="7"/>
        <v>2029081.3920000009</v>
      </c>
      <c r="EG10" s="102">
        <f t="shared" si="7"/>
        <v>202776</v>
      </c>
      <c r="EH10" s="102">
        <f t="shared" si="7"/>
        <v>292776</v>
      </c>
      <c r="EI10" s="102">
        <f t="shared" si="7"/>
        <v>403776</v>
      </c>
    </row>
    <row r="11" spans="1:139" x14ac:dyDescent="0.3">
      <c r="B11" s="63" t="s">
        <v>128</v>
      </c>
      <c r="C11" s="133" t="s">
        <v>511</v>
      </c>
      <c r="D11" s="133" t="str">
        <f>IF(Menu!$D$12="PT",B11,C11)</f>
        <v>VGV lançado (R$ mil) - % TECNISA</v>
      </c>
      <c r="E11" s="61">
        <v>17504</v>
      </c>
      <c r="F11" s="61">
        <v>98072</v>
      </c>
      <c r="G11" s="61">
        <v>183127.5</v>
      </c>
      <c r="H11" s="61">
        <v>579000.35</v>
      </c>
      <c r="I11" s="61">
        <v>227190</v>
      </c>
      <c r="J11" s="61">
        <v>309912</v>
      </c>
      <c r="K11" s="61">
        <v>336065.00000000006</v>
      </c>
      <c r="L11" s="61">
        <v>645118</v>
      </c>
      <c r="M11" s="61">
        <v>182160.00000000003</v>
      </c>
      <c r="N11" s="61">
        <v>65101</v>
      </c>
      <c r="O11" s="61">
        <v>80162</v>
      </c>
      <c r="P11" s="61">
        <v>24750</v>
      </c>
      <c r="Q11" s="61">
        <v>174704.80000000005</v>
      </c>
      <c r="R11" s="61">
        <v>261221.2</v>
      </c>
      <c r="S11" s="61">
        <v>566684.24999999988</v>
      </c>
      <c r="T11" s="61">
        <v>1051345.75</v>
      </c>
      <c r="U11" s="61">
        <v>400188.79999999993</v>
      </c>
      <c r="V11" s="61">
        <v>387983.18500000006</v>
      </c>
      <c r="W11" s="61">
        <v>312340.02999999997</v>
      </c>
      <c r="X11" s="61">
        <v>1015869.5</v>
      </c>
      <c r="Y11" s="61">
        <v>0</v>
      </c>
      <c r="Z11" s="61">
        <v>104647.8</v>
      </c>
      <c r="AA11" s="61">
        <v>395588.45</v>
      </c>
      <c r="AB11" s="61">
        <v>511177.3</v>
      </c>
      <c r="AC11" s="61">
        <v>669702.53329999989</v>
      </c>
      <c r="AD11" s="61">
        <v>553822.94530000002</v>
      </c>
      <c r="AE11" s="61">
        <v>397297.12199999997</v>
      </c>
      <c r="AF11" s="61">
        <v>261918</v>
      </c>
      <c r="AG11" s="61">
        <v>112330.33877000002</v>
      </c>
      <c r="AH11" s="61">
        <v>352703.86594079994</v>
      </c>
      <c r="AI11" s="61">
        <v>0</v>
      </c>
      <c r="AJ11" s="61">
        <f>SUMIF(Lançamentos!$C:$C,AJ$2,Lançamentos!$J:$J)*1000</f>
        <v>119141.8085</v>
      </c>
      <c r="AK11" s="61">
        <f>SUMIF(Lançamentos!$C:$C,AK$2,Lançamentos!$J:$J)*1000</f>
        <v>0</v>
      </c>
      <c r="AL11" s="61">
        <f>SUMIF(Lançamentos!$C:$C,AL$2,Lançamentos!$J:$J)*1000</f>
        <v>0</v>
      </c>
      <c r="AM11" s="61">
        <f>SUMIF(Lançamentos!$C:$C,AM$2,Lançamentos!$J:$J)*1000</f>
        <v>21874.207999999999</v>
      </c>
      <c r="AN11" s="61">
        <f>SUMIF(Lançamentos!$C:$C,AN$2,Lançamentos!$J:$J)*1000</f>
        <v>0</v>
      </c>
      <c r="AO11" s="61">
        <f>SUMIF(Lançamentos!$C:$C,AO$2,Lançamentos!$J:$J)*1000</f>
        <v>0</v>
      </c>
      <c r="AP11" s="61">
        <f>SUMIF(Lançamentos!$C:$C,AP$2,Lançamentos!$J:$J)*1000</f>
        <v>0</v>
      </c>
      <c r="AQ11" s="61">
        <f>SUMIF(Lançamentos!$C:$C,AQ$2,Lançamentos!$J:$J)*1000</f>
        <v>80459.405456249995</v>
      </c>
      <c r="AR11" s="61">
        <f>SUMIF(Lançamentos!$C:$C,AR$2,Lançamentos!$J:$J)*1000</f>
        <v>314579.8796650882</v>
      </c>
      <c r="AS11" s="61">
        <f>SUMIF(Lançamentos!$C:$C,AS$2,Lançamentos!$J:$J)*1000</f>
        <v>0</v>
      </c>
      <c r="AT11" s="61">
        <f>SUMIF(Lançamentos!$C:$C,AT$2,Lançamentos!$J:$J)*1000</f>
        <v>0</v>
      </c>
      <c r="AU11" s="61">
        <f>SUMIF(Lançamentos!$C:$C,AU$2,Lançamentos!$J:$J)*1000</f>
        <v>0</v>
      </c>
      <c r="AV11" s="61">
        <f>SUMIF(Lançamentos!$C:$C,AV$2,Lançamentos!$J:$J)*1000</f>
        <v>0</v>
      </c>
      <c r="AW11" s="61">
        <f>SUMIF(Lançamentos!$C:$C,AW$2,Lançamentos!$J:$J)*1000</f>
        <v>0</v>
      </c>
      <c r="AX11" s="61">
        <f>SUMIF(Lançamentos!$C:$C,AX$2,Lançamentos!$J:$J)*1000</f>
        <v>0</v>
      </c>
      <c r="AY11" s="61">
        <f>SUMIF(Lançamentos!$C:$C,AY$2,Lançamentos!$J:$J)*1000</f>
        <v>0</v>
      </c>
      <c r="AZ11" s="61">
        <f>SUMIF(Lançamentos!$C:$C,AZ$2,Lançamentos!$J:$J)*1000</f>
        <v>0</v>
      </c>
      <c r="BA11" s="61">
        <f>SUMIF(Lançamentos!$C:$C,BA$2,Lançamentos!$J:$J)*1000</f>
        <v>0</v>
      </c>
      <c r="BB11" s="61">
        <v>52122.148000000008</v>
      </c>
      <c r="BC11" s="61">
        <v>0</v>
      </c>
      <c r="BD11" s="61">
        <v>16685.943999999996</v>
      </c>
      <c r="BE11" s="61">
        <v>6787.5919999999987</v>
      </c>
      <c r="BF11" s="61">
        <v>0</v>
      </c>
      <c r="BG11" s="61">
        <v>0</v>
      </c>
      <c r="BH11" s="102">
        <v>264000</v>
      </c>
      <c r="BI11" s="102">
        <v>0</v>
      </c>
      <c r="BJ11" s="102">
        <v>164770</v>
      </c>
      <c r="BK11" s="102">
        <v>287900</v>
      </c>
      <c r="BL11" s="102">
        <v>390555.73451181792</v>
      </c>
      <c r="BM11" s="102">
        <v>0</v>
      </c>
      <c r="BN11" s="102">
        <v>0</v>
      </c>
      <c r="BO11" s="102">
        <v>232750</v>
      </c>
      <c r="BP11" s="102">
        <v>545600</v>
      </c>
      <c r="BQ11" s="102">
        <v>0</v>
      </c>
      <c r="BR11" s="102">
        <v>0</v>
      </c>
      <c r="BS11" s="102">
        <v>0</v>
      </c>
      <c r="BT11" s="102">
        <v>211000</v>
      </c>
      <c r="BU11" s="102">
        <v>306075</v>
      </c>
      <c r="BV11" s="102">
        <v>254868.90580000001</v>
      </c>
      <c r="BW11" s="102">
        <v>330841.8</v>
      </c>
      <c r="BX11" s="102">
        <v>0</v>
      </c>
      <c r="BY11" s="102">
        <v>20277.600000000002</v>
      </c>
      <c r="BZ11" s="102">
        <v>0</v>
      </c>
      <c r="CA11" s="102">
        <v>27000</v>
      </c>
      <c r="CB11" s="102">
        <v>11100.000000000002</v>
      </c>
      <c r="CE11" s="102">
        <f t="shared" si="2"/>
        <v>115576</v>
      </c>
      <c r="CF11" s="102">
        <f t="shared" si="2"/>
        <v>298703.5</v>
      </c>
      <c r="CG11" s="102">
        <f t="shared" si="2"/>
        <v>877703.85</v>
      </c>
      <c r="CH11" s="102">
        <f t="shared" si="2"/>
        <v>537102.00000000012</v>
      </c>
      <c r="CI11" s="102">
        <f t="shared" si="2"/>
        <v>873167.00000000012</v>
      </c>
      <c r="CJ11" s="102">
        <f t="shared" si="2"/>
        <v>1518285</v>
      </c>
      <c r="CK11" s="102">
        <f t="shared" si="2"/>
        <v>247261</v>
      </c>
      <c r="CL11" s="102">
        <f t="shared" si="2"/>
        <v>327423</v>
      </c>
      <c r="CM11" s="102">
        <f t="shared" si="2"/>
        <v>352173</v>
      </c>
      <c r="CN11" s="102">
        <f t="shared" si="2"/>
        <v>435926.00000000047</v>
      </c>
      <c r="CO11" s="102">
        <f t="shared" si="3"/>
        <v>1002610.2500000005</v>
      </c>
      <c r="CP11" s="102">
        <f t="shared" si="3"/>
        <v>2053956.0000000005</v>
      </c>
      <c r="CQ11" s="102">
        <f t="shared" si="3"/>
        <v>788171.98500000034</v>
      </c>
      <c r="CR11" s="102">
        <f t="shared" si="3"/>
        <v>1100512.0150000006</v>
      </c>
      <c r="CS11" s="102">
        <f t="shared" si="3"/>
        <v>2116381.5150000006</v>
      </c>
      <c r="CT11" s="102">
        <f t="shared" si="3"/>
        <v>104647.79999999981</v>
      </c>
      <c r="CU11" s="102">
        <f t="shared" si="3"/>
        <v>500236.25</v>
      </c>
      <c r="CV11" s="102">
        <f t="shared" si="3"/>
        <v>1011413.5499999998</v>
      </c>
      <c r="CW11" s="102">
        <f t="shared" si="3"/>
        <v>1223525.4785999991</v>
      </c>
      <c r="CX11" s="102">
        <f t="shared" si="3"/>
        <v>1620822.6005999986</v>
      </c>
      <c r="CY11" s="102">
        <f t="shared" si="4"/>
        <v>1882740.6005999986</v>
      </c>
      <c r="CZ11" s="102">
        <f t="shared" si="4"/>
        <v>465034.2047108002</v>
      </c>
      <c r="DA11" s="102">
        <f t="shared" si="4"/>
        <v>465034.2047108002</v>
      </c>
      <c r="DB11" s="102">
        <f t="shared" si="4"/>
        <v>584176.01321079955</v>
      </c>
      <c r="DC11" s="102">
        <f t="shared" si="4"/>
        <v>0</v>
      </c>
      <c r="DD11" s="102">
        <f t="shared" si="4"/>
        <v>21874.208000000566</v>
      </c>
      <c r="DE11" s="102">
        <f t="shared" si="4"/>
        <v>21874.208000000566</v>
      </c>
      <c r="DF11" s="102">
        <f t="shared" si="4"/>
        <v>0</v>
      </c>
      <c r="DG11" s="102">
        <f t="shared" si="4"/>
        <v>80459.405456250533</v>
      </c>
      <c r="DH11" s="102">
        <f t="shared" si="4"/>
        <v>395039.28512133844</v>
      </c>
      <c r="DI11" s="102">
        <f t="shared" si="5"/>
        <v>0</v>
      </c>
      <c r="DJ11" s="102">
        <f t="shared" si="5"/>
        <v>0</v>
      </c>
      <c r="DK11" s="102">
        <f t="shared" si="5"/>
        <v>0</v>
      </c>
      <c r="DL11" s="102">
        <f t="shared" si="5"/>
        <v>0</v>
      </c>
      <c r="DM11" s="102">
        <f t="shared" si="5"/>
        <v>0</v>
      </c>
      <c r="DN11" s="102">
        <f t="shared" si="5"/>
        <v>0</v>
      </c>
      <c r="DO11" s="102">
        <f t="shared" si="5"/>
        <v>52122.148000000045</v>
      </c>
      <c r="DP11" s="102">
        <f t="shared" si="5"/>
        <v>52122.148000000045</v>
      </c>
      <c r="DQ11" s="102">
        <f t="shared" si="5"/>
        <v>68808.092000000179</v>
      </c>
      <c r="DR11" s="102">
        <f t="shared" si="5"/>
        <v>6787.5920000001788</v>
      </c>
      <c r="DS11" s="102">
        <f t="shared" si="6"/>
        <v>6787.5920000001788</v>
      </c>
      <c r="DT11" s="102">
        <f t="shared" si="6"/>
        <v>270787.59200000018</v>
      </c>
      <c r="DU11" s="102">
        <f t="shared" si="6"/>
        <v>164770</v>
      </c>
      <c r="DV11" s="102">
        <f t="shared" si="6"/>
        <v>452670</v>
      </c>
      <c r="DW11" s="102">
        <f t="shared" si="6"/>
        <v>843225.73451181874</v>
      </c>
      <c r="DX11" s="102">
        <f t="shared" si="6"/>
        <v>0</v>
      </c>
      <c r="DY11" s="102">
        <f t="shared" si="6"/>
        <v>232750</v>
      </c>
      <c r="DZ11" s="102">
        <f t="shared" si="6"/>
        <v>778350</v>
      </c>
      <c r="EA11" s="102">
        <f t="shared" si="6"/>
        <v>0</v>
      </c>
      <c r="EB11" s="102">
        <f t="shared" si="6"/>
        <v>0</v>
      </c>
      <c r="EC11" s="102">
        <f t="shared" si="7"/>
        <v>211000</v>
      </c>
      <c r="ED11" s="102">
        <f t="shared" si="7"/>
        <v>560943.90579999983</v>
      </c>
      <c r="EE11" s="102">
        <f t="shared" si="7"/>
        <v>891785.70580000058</v>
      </c>
      <c r="EF11" s="102">
        <f t="shared" si="7"/>
        <v>891785.70580000058</v>
      </c>
      <c r="EG11" s="102">
        <f t="shared" si="7"/>
        <v>20277.599999999627</v>
      </c>
      <c r="EH11" s="102">
        <f t="shared" si="7"/>
        <v>47277.599999999627</v>
      </c>
      <c r="EI11" s="102">
        <f t="shared" si="7"/>
        <v>58377.599999999627</v>
      </c>
    </row>
    <row r="12" spans="1:139" ht="14.4" thickBot="1" x14ac:dyDescent="0.35">
      <c r="B12" s="66" t="s">
        <v>127</v>
      </c>
      <c r="C12" s="66" t="s">
        <v>512</v>
      </c>
      <c r="D12" s="66" t="str">
        <f>IF(Menu!$D$12="PT",B12,C12)</f>
        <v>Preço médio de lançamento (R$/m²)</v>
      </c>
      <c r="E12" s="60">
        <v>1899.3055555555557</v>
      </c>
      <c r="F12" s="60">
        <v>3666.5171227755345</v>
      </c>
      <c r="G12" s="60">
        <v>3012.7459014202655</v>
      </c>
      <c r="H12" s="60">
        <v>2865.5089552773334</v>
      </c>
      <c r="I12" s="60">
        <v>3435.9037663510785</v>
      </c>
      <c r="J12" s="60">
        <v>2766.7904759264907</v>
      </c>
      <c r="K12" s="60">
        <v>2841.0474865627043</v>
      </c>
      <c r="L12" s="60">
        <v>4276.0043135381011</v>
      </c>
      <c r="M12" s="60">
        <v>4193.3315531164535</v>
      </c>
      <c r="N12" s="60">
        <v>2588.7498247480262</v>
      </c>
      <c r="O12" s="60">
        <v>3106.2284697497475</v>
      </c>
      <c r="P12" s="60">
        <v>3712.3199524823044</v>
      </c>
      <c r="Q12" s="60">
        <v>2701.9854527073799</v>
      </c>
      <c r="R12" s="60">
        <v>3641.0406661013612</v>
      </c>
      <c r="S12" s="60">
        <v>3611.7400075011401</v>
      </c>
      <c r="T12" s="60">
        <v>4186.9788476535941</v>
      </c>
      <c r="U12" s="60">
        <v>4246.8116561602301</v>
      </c>
      <c r="V12" s="60">
        <v>4201.7892183630811</v>
      </c>
      <c r="W12" s="60">
        <v>5539.5958499070512</v>
      </c>
      <c r="X12" s="60">
        <v>5240.7511032979974</v>
      </c>
      <c r="Y12" s="60">
        <v>0</v>
      </c>
      <c r="Z12" s="60">
        <v>5495.3629474764994</v>
      </c>
      <c r="AA12" s="60">
        <v>5866.2093736845964</v>
      </c>
      <c r="AB12" s="60">
        <v>6070.5780264249179</v>
      </c>
      <c r="AC12" s="60">
        <v>7236.8030417502669</v>
      </c>
      <c r="AD12" s="60">
        <v>8200.9566014838601</v>
      </c>
      <c r="AE12" s="60">
        <v>8228.0883458949502</v>
      </c>
      <c r="AF12" s="60">
        <v>7168.1009102728276</v>
      </c>
      <c r="AG12" s="60">
        <v>6006.9214242289108</v>
      </c>
      <c r="AH12" s="60">
        <v>9112.6895245246778</v>
      </c>
      <c r="AI12" s="60">
        <v>0</v>
      </c>
      <c r="AJ12" s="60">
        <f t="shared" ref="AJ12:AS12" si="8">IFERROR(AJ10/AJ9*1000,0)</f>
        <v>6947.5875241360045</v>
      </c>
      <c r="AK12" s="60">
        <f t="shared" si="8"/>
        <v>0</v>
      </c>
      <c r="AL12" s="60">
        <f t="shared" si="8"/>
        <v>0</v>
      </c>
      <c r="AM12" s="60">
        <f t="shared" si="8"/>
        <v>4789.7488000560552</v>
      </c>
      <c r="AN12" s="60">
        <f t="shared" si="8"/>
        <v>0</v>
      </c>
      <c r="AO12" s="60">
        <f t="shared" si="8"/>
        <v>0</v>
      </c>
      <c r="AP12" s="60">
        <f t="shared" si="8"/>
        <v>0</v>
      </c>
      <c r="AQ12" s="60">
        <f t="shared" si="8"/>
        <v>11549.612150022169</v>
      </c>
      <c r="AR12" s="60">
        <f t="shared" si="8"/>
        <v>2131.6056127757433</v>
      </c>
      <c r="AS12" s="60">
        <f t="shared" si="8"/>
        <v>0</v>
      </c>
      <c r="AT12" s="60">
        <f t="shared" ref="AT12:AW12" si="9">IFERROR(AT10/AT9*1000,0)</f>
        <v>0</v>
      </c>
      <c r="AU12" s="60">
        <f t="shared" ref="AU12:AV12" si="10">IFERROR(AU10/AU9*1000,0)</f>
        <v>0</v>
      </c>
      <c r="AV12" s="60">
        <f t="shared" si="10"/>
        <v>0</v>
      </c>
      <c r="AW12" s="60">
        <f t="shared" si="9"/>
        <v>0</v>
      </c>
      <c r="AX12" s="60">
        <f t="shared" ref="AX12:AZ12" si="11">IFERROR(AX10/AX9*1000,0)</f>
        <v>0</v>
      </c>
      <c r="AY12" s="60">
        <f t="shared" ref="AY12" si="12">IFERROR(AY10/AY9*1000,0)</f>
        <v>0</v>
      </c>
      <c r="AZ12" s="60">
        <f t="shared" si="11"/>
        <v>0</v>
      </c>
      <c r="BA12" s="60">
        <f t="shared" ref="BA12:BE12" si="13">IFERROR(BA10/BA9*1000,0)</f>
        <v>0</v>
      </c>
      <c r="BB12" s="60">
        <f t="shared" si="13"/>
        <v>6389.168672495297</v>
      </c>
      <c r="BC12" s="60">
        <f t="shared" si="13"/>
        <v>0</v>
      </c>
      <c r="BD12" s="60">
        <f t="shared" si="13"/>
        <v>9559.9870287167232</v>
      </c>
      <c r="BE12" s="60">
        <f t="shared" si="13"/>
        <v>5183.0534204252672</v>
      </c>
      <c r="BF12" s="60">
        <v>0</v>
      </c>
      <c r="BG12" s="60">
        <v>0</v>
      </c>
      <c r="BH12" s="60">
        <v>10111.866351768851</v>
      </c>
      <c r="BI12" s="60">
        <v>0</v>
      </c>
      <c r="BJ12" s="60">
        <v>12229.562780327304</v>
      </c>
      <c r="BK12" s="60">
        <v>11876.082831449552</v>
      </c>
      <c r="BL12" s="60">
        <v>12435.357654651931</v>
      </c>
      <c r="BM12" s="60">
        <v>0</v>
      </c>
      <c r="BN12" s="60">
        <v>0</v>
      </c>
      <c r="BO12" s="60">
        <v>12882.807232583762</v>
      </c>
      <c r="BP12" s="60">
        <v>22513.724777803352</v>
      </c>
      <c r="BQ12" s="60">
        <v>0</v>
      </c>
      <c r="BR12" s="60">
        <v>0</v>
      </c>
      <c r="BS12" s="60">
        <v>0</v>
      </c>
      <c r="BT12" s="60">
        <v>13363.878134098599</v>
      </c>
      <c r="BU12" s="60">
        <v>14098.369377277686</v>
      </c>
      <c r="BV12" s="60">
        <v>11232.715425987461</v>
      </c>
      <c r="BW12" s="60">
        <v>10576.177254178985</v>
      </c>
      <c r="BX12" s="60">
        <v>0</v>
      </c>
      <c r="BY12" s="60">
        <v>5743.6304153861402</v>
      </c>
      <c r="BZ12" s="60">
        <v>0</v>
      </c>
      <c r="CA12" s="60">
        <v>8791.2087912087918</v>
      </c>
      <c r="CB12" s="60">
        <v>35463.711996319449</v>
      </c>
      <c r="CE12" s="60">
        <f t="shared" ref="CE12:EE12" si="14">IFERROR(CE10/CE9*1000,0)</f>
        <v>3213.6581025469914</v>
      </c>
      <c r="CF12" s="60">
        <f t="shared" si="14"/>
        <v>3065.4940454715811</v>
      </c>
      <c r="CG12" s="60">
        <f t="shared" si="14"/>
        <v>2922.3645676026363</v>
      </c>
      <c r="CH12" s="60">
        <f t="shared" si="14"/>
        <v>2987.6439036483293</v>
      </c>
      <c r="CI12" s="60">
        <f t="shared" si="14"/>
        <v>2927.989959726794</v>
      </c>
      <c r="CJ12" s="60">
        <f t="shared" si="14"/>
        <v>3395.9955521200309</v>
      </c>
      <c r="CK12" s="60">
        <f t="shared" si="14"/>
        <v>3554.1881249533239</v>
      </c>
      <c r="CL12" s="60">
        <f t="shared" si="14"/>
        <v>3439.210636836161</v>
      </c>
      <c r="CM12" s="60">
        <f t="shared" si="14"/>
        <v>3478.1730007614337</v>
      </c>
      <c r="CN12" s="60">
        <f t="shared" si="14"/>
        <v>3166.7407740387875</v>
      </c>
      <c r="CO12" s="60">
        <f t="shared" si="14"/>
        <v>3407.5114814817716</v>
      </c>
      <c r="CP12" s="60">
        <f t="shared" si="14"/>
        <v>3783.215965896462</v>
      </c>
      <c r="CQ12" s="60">
        <f t="shared" si="14"/>
        <v>4222.4939613328297</v>
      </c>
      <c r="CR12" s="60">
        <f t="shared" si="14"/>
        <v>4600.5010336270498</v>
      </c>
      <c r="CS12" s="60">
        <f t="shared" si="14"/>
        <v>4897.9018658990144</v>
      </c>
      <c r="CT12" s="60">
        <f t="shared" si="14"/>
        <v>5495.3629474764894</v>
      </c>
      <c r="CU12" s="60">
        <f t="shared" si="14"/>
        <v>5756.8109275163251</v>
      </c>
      <c r="CV12" s="60">
        <f t="shared" si="14"/>
        <v>5901.6911824317176</v>
      </c>
      <c r="CW12" s="60">
        <f t="shared" si="14"/>
        <v>7653.9594846358568</v>
      </c>
      <c r="CX12" s="60">
        <f t="shared" si="14"/>
        <v>7777.318779754879</v>
      </c>
      <c r="CY12" s="60">
        <f t="shared" si="14"/>
        <v>7701.5070503181987</v>
      </c>
      <c r="CZ12" s="60">
        <f t="shared" si="14"/>
        <v>8237.2993412539799</v>
      </c>
      <c r="DA12" s="60">
        <f t="shared" si="14"/>
        <v>8237.2993412539799</v>
      </c>
      <c r="DB12" s="60">
        <f t="shared" si="14"/>
        <v>7896.7135487223932</v>
      </c>
      <c r="DC12" s="60">
        <f t="shared" si="14"/>
        <v>0</v>
      </c>
      <c r="DD12" s="60">
        <f t="shared" si="14"/>
        <v>4789.7488000559379</v>
      </c>
      <c r="DE12" s="60">
        <f t="shared" si="14"/>
        <v>4789.7488000559379</v>
      </c>
      <c r="DF12" s="60">
        <f t="shared" si="14"/>
        <v>0</v>
      </c>
      <c r="DG12" s="60">
        <f t="shared" si="14"/>
        <v>11549.612150022293</v>
      </c>
      <c r="DH12" s="60">
        <f t="shared" si="14"/>
        <v>2597.1205785655793</v>
      </c>
      <c r="DI12" s="60">
        <f t="shared" si="14"/>
        <v>0</v>
      </c>
      <c r="DJ12" s="60">
        <f t="shared" si="14"/>
        <v>0</v>
      </c>
      <c r="DK12" s="60">
        <f t="shared" si="14"/>
        <v>0</v>
      </c>
      <c r="DL12" s="60">
        <f t="shared" si="14"/>
        <v>0</v>
      </c>
      <c r="DM12" s="60">
        <f t="shared" si="14"/>
        <v>0</v>
      </c>
      <c r="DN12" s="60">
        <f t="shared" si="14"/>
        <v>0</v>
      </c>
      <c r="DO12" s="60">
        <f t="shared" si="14"/>
        <v>6389.1686724953079</v>
      </c>
      <c r="DP12" s="60">
        <f t="shared" si="14"/>
        <v>6389.1686724953079</v>
      </c>
      <c r="DQ12" s="60">
        <f t="shared" si="14"/>
        <v>6948.0061466466732</v>
      </c>
      <c r="DR12" s="60">
        <f t="shared" si="14"/>
        <v>5183.0534204253163</v>
      </c>
      <c r="DS12" s="60">
        <f t="shared" si="14"/>
        <v>5183.0534204253163</v>
      </c>
      <c r="DT12" s="60">
        <f t="shared" si="14"/>
        <v>9123.5819904635773</v>
      </c>
      <c r="DU12" s="60">
        <f t="shared" si="14"/>
        <v>12229.56278032744</v>
      </c>
      <c r="DV12" s="60">
        <f t="shared" si="14"/>
        <v>12002.357676993526</v>
      </c>
      <c r="DW12" s="60">
        <f t="shared" si="14"/>
        <v>12222.918834108863</v>
      </c>
      <c r="DX12" s="60">
        <f t="shared" si="14"/>
        <v>0</v>
      </c>
      <c r="DY12" s="60">
        <f t="shared" si="14"/>
        <v>12882.807232583658</v>
      </c>
      <c r="DZ12" s="60">
        <f t="shared" si="14"/>
        <v>18085.078881455815</v>
      </c>
      <c r="EA12" s="60">
        <f t="shared" si="14"/>
        <v>0</v>
      </c>
      <c r="EB12" s="60">
        <f t="shared" si="14"/>
        <v>0</v>
      </c>
      <c r="EC12" s="60">
        <f t="shared" si="14"/>
        <v>13363.878134098537</v>
      </c>
      <c r="ED12" s="60">
        <f t="shared" si="14"/>
        <v>12420.886214672417</v>
      </c>
      <c r="EE12" s="60">
        <f t="shared" si="14"/>
        <v>11630.760976642106</v>
      </c>
      <c r="EF12" s="60">
        <f t="shared" ref="EF12:EH12" si="15">IFERROR(EF10/EF9*1000,0)</f>
        <v>11630.760976642106</v>
      </c>
      <c r="EG12" s="60">
        <f t="shared" si="15"/>
        <v>5743.6304153861402</v>
      </c>
      <c r="EH12" s="60">
        <f t="shared" si="15"/>
        <v>6428.7031750911246</v>
      </c>
      <c r="EI12" s="60">
        <f t="shared" ref="EI12" si="16">IFERROR(EI10/EI9*1000,0)</f>
        <v>8295.8648059375537</v>
      </c>
    </row>
    <row r="13" spans="1:139" x14ac:dyDescent="0.3"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4"/>
      <c r="AH13" s="79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</row>
    <row r="14" spans="1:139" x14ac:dyDescent="0.3">
      <c r="Y14" s="67"/>
      <c r="AF14" s="72"/>
      <c r="AG14" s="74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</row>
    <row r="15" spans="1:139" s="64" customFormat="1" ht="16.2" thickBot="1" x14ac:dyDescent="0.35">
      <c r="A15" s="71"/>
      <c r="B15" s="154" t="s">
        <v>126</v>
      </c>
      <c r="C15" s="154" t="s">
        <v>513</v>
      </c>
      <c r="D15" s="154" t="str">
        <f>IF(Menu!$D$12="PT",B15,C15)</f>
        <v>Vendas Contratadas</v>
      </c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62"/>
      <c r="AG15" s="163"/>
      <c r="AH15" s="162"/>
      <c r="AI15" s="162"/>
      <c r="AJ15" s="163"/>
      <c r="AK15" s="164"/>
      <c r="AL15" s="163"/>
      <c r="AM15" s="163"/>
      <c r="AN15" s="163"/>
      <c r="AO15" s="163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3"/>
      <c r="CA15" s="163"/>
      <c r="CB15" s="163"/>
      <c r="CE15" s="155"/>
      <c r="CF15" s="155"/>
      <c r="CG15" s="155"/>
      <c r="CH15" s="155"/>
      <c r="CI15" s="155"/>
      <c r="CJ15" s="155"/>
      <c r="CK15" s="155"/>
      <c r="CL15" s="155"/>
      <c r="CM15" s="155"/>
      <c r="CN15" s="155"/>
      <c r="CO15" s="155"/>
      <c r="CP15" s="155"/>
      <c r="CQ15" s="155"/>
      <c r="CR15" s="155"/>
      <c r="CS15" s="155"/>
      <c r="CT15" s="155"/>
      <c r="CU15" s="155"/>
      <c r="CV15" s="155"/>
      <c r="CW15" s="155"/>
      <c r="CX15" s="155"/>
      <c r="CY15" s="155"/>
      <c r="CZ15" s="155"/>
      <c r="DA15" s="155"/>
      <c r="DB15" s="155"/>
      <c r="DC15" s="155"/>
      <c r="DD15" s="155"/>
      <c r="DE15" s="155"/>
      <c r="DF15" s="155"/>
      <c r="DG15" s="155"/>
      <c r="DH15" s="155"/>
      <c r="DI15" s="155"/>
      <c r="DJ15" s="155"/>
      <c r="DK15" s="155"/>
      <c r="DL15" s="155"/>
      <c r="DM15" s="155"/>
      <c r="DN15" s="155"/>
      <c r="DO15" s="155"/>
      <c r="DP15" s="155"/>
      <c r="DQ15" s="155"/>
      <c r="DR15" s="155"/>
      <c r="DS15" s="155"/>
      <c r="DT15" s="155"/>
      <c r="DU15" s="155"/>
      <c r="DV15" s="155"/>
      <c r="DW15" s="155"/>
      <c r="DX15" s="155"/>
      <c r="DY15" s="155"/>
      <c r="DZ15" s="155"/>
      <c r="EA15" s="155"/>
      <c r="EB15" s="155"/>
      <c r="EC15" s="155"/>
      <c r="ED15" s="155"/>
      <c r="EE15" s="155"/>
      <c r="EF15" s="155"/>
      <c r="EG15" s="155"/>
      <c r="EH15" s="155"/>
      <c r="EI15" s="155"/>
    </row>
    <row r="16" spans="1:139" x14ac:dyDescent="0.3">
      <c r="AF16" s="72"/>
      <c r="AG16" s="74"/>
      <c r="AH16" s="77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</row>
    <row r="17" spans="1:139" x14ac:dyDescent="0.3">
      <c r="B17" s="63" t="s">
        <v>125</v>
      </c>
      <c r="C17" s="133" t="s">
        <v>514</v>
      </c>
      <c r="D17" s="133" t="str">
        <f>IF(Menu!$D$12="PT",B17,C17)</f>
        <v>Unidades vendidas</v>
      </c>
      <c r="E17" s="61">
        <v>134</v>
      </c>
      <c r="F17" s="61">
        <v>187</v>
      </c>
      <c r="G17" s="61">
        <v>575</v>
      </c>
      <c r="H17" s="61">
        <v>797</v>
      </c>
      <c r="I17" s="61">
        <v>627</v>
      </c>
      <c r="J17" s="61">
        <v>996</v>
      </c>
      <c r="K17" s="61">
        <v>1058</v>
      </c>
      <c r="L17" s="61">
        <v>1208</v>
      </c>
      <c r="M17" s="61">
        <v>894</v>
      </c>
      <c r="N17" s="61">
        <v>1089</v>
      </c>
      <c r="O17" s="61">
        <v>765</v>
      </c>
      <c r="P17" s="61">
        <v>386</v>
      </c>
      <c r="Q17" s="61">
        <v>717</v>
      </c>
      <c r="R17" s="61">
        <v>1088</v>
      </c>
      <c r="S17" s="61">
        <v>1341</v>
      </c>
      <c r="T17" s="61">
        <v>2876</v>
      </c>
      <c r="U17" s="61">
        <v>1873</v>
      </c>
      <c r="V17" s="61">
        <v>2058</v>
      </c>
      <c r="W17" s="61">
        <v>1345</v>
      </c>
      <c r="X17" s="61">
        <v>1407</v>
      </c>
      <c r="Y17" s="61">
        <v>901</v>
      </c>
      <c r="Z17" s="61">
        <v>785</v>
      </c>
      <c r="AA17" s="61">
        <v>1470</v>
      </c>
      <c r="AB17" s="61">
        <v>754</v>
      </c>
      <c r="AC17" s="61">
        <v>902</v>
      </c>
      <c r="AD17" s="61">
        <v>1202</v>
      </c>
      <c r="AE17" s="61">
        <v>939</v>
      </c>
      <c r="AF17" s="61">
        <v>778</v>
      </c>
      <c r="AG17" s="61">
        <v>485</v>
      </c>
      <c r="AH17" s="61">
        <v>508</v>
      </c>
      <c r="AI17" s="61">
        <v>412</v>
      </c>
      <c r="AJ17" s="61">
        <v>270</v>
      </c>
      <c r="AK17" s="61">
        <v>592.6</v>
      </c>
      <c r="AL17" s="61">
        <v>342.8483037638274</v>
      </c>
      <c r="AM17" s="61">
        <v>384</v>
      </c>
      <c r="AN17" s="61">
        <v>94</v>
      </c>
      <c r="AO17" s="61">
        <v>312</v>
      </c>
      <c r="AP17" s="61">
        <v>115.59601569218486</v>
      </c>
      <c r="AQ17" s="61">
        <v>-164</v>
      </c>
      <c r="AR17" s="61">
        <v>254</v>
      </c>
      <c r="AS17" s="61">
        <v>381</v>
      </c>
      <c r="AT17" s="61">
        <v>220</v>
      </c>
      <c r="AU17" s="61">
        <v>150</v>
      </c>
      <c r="AV17" s="61">
        <v>323</v>
      </c>
      <c r="AW17" s="61">
        <v>253</v>
      </c>
      <c r="AX17" s="61">
        <v>298</v>
      </c>
      <c r="AY17" s="61">
        <v>40</v>
      </c>
      <c r="AZ17" s="61">
        <v>364</v>
      </c>
      <c r="BA17" s="61">
        <v>241</v>
      </c>
      <c r="BB17" s="61">
        <v>390</v>
      </c>
      <c r="BC17" s="61">
        <v>380</v>
      </c>
      <c r="BD17" s="61">
        <v>753</v>
      </c>
      <c r="BE17" s="61">
        <v>306</v>
      </c>
      <c r="BF17" s="61">
        <v>209</v>
      </c>
      <c r="BG17" s="102">
        <v>321</v>
      </c>
      <c r="BH17" s="61">
        <v>250</v>
      </c>
      <c r="BI17" s="61">
        <v>100</v>
      </c>
      <c r="BJ17" s="61">
        <v>84</v>
      </c>
      <c r="BK17" s="61">
        <v>107</v>
      </c>
      <c r="BL17" s="61">
        <v>212</v>
      </c>
      <c r="BM17" s="61">
        <v>77</v>
      </c>
      <c r="BN17" s="61">
        <v>115</v>
      </c>
      <c r="BO17" s="61">
        <v>151</v>
      </c>
      <c r="BP17" s="61">
        <v>165</v>
      </c>
      <c r="BQ17" s="61">
        <v>98</v>
      </c>
      <c r="BR17" s="61">
        <v>78</v>
      </c>
      <c r="BS17" s="61">
        <v>123</v>
      </c>
      <c r="BT17" s="61">
        <v>149</v>
      </c>
      <c r="BU17" s="61">
        <v>191</v>
      </c>
      <c r="BV17" s="61">
        <v>641</v>
      </c>
      <c r="BW17" s="61">
        <v>1174</v>
      </c>
      <c r="BX17" s="61">
        <v>555</v>
      </c>
      <c r="BY17" s="61">
        <v>985</v>
      </c>
      <c r="BZ17" s="61">
        <v>263</v>
      </c>
      <c r="CA17" s="61">
        <v>231</v>
      </c>
      <c r="CB17" s="61">
        <v>190</v>
      </c>
      <c r="CE17" s="102">
        <f t="shared" ref="CE17:CN20" si="17">SUMIF($B$1:$CC$1,"&lt;="&amp;VALUE(RIGHT(CE$2,2)&amp;IF(LEFT(CE$2,2)="1S",2,IF(LEFT(CE$2,2)="9M",3,4))),$B17:$CC17)-
SUMIF($B$1:$CC$1,"&lt;"&amp;VALUE(RIGHT(CE$2,2))&amp;"0",$B17:$CC17)</f>
        <v>321</v>
      </c>
      <c r="CF17" s="102">
        <f t="shared" si="17"/>
        <v>896</v>
      </c>
      <c r="CG17" s="102">
        <f t="shared" si="17"/>
        <v>1693</v>
      </c>
      <c r="CH17" s="102">
        <f t="shared" si="17"/>
        <v>1623</v>
      </c>
      <c r="CI17" s="102">
        <f t="shared" si="17"/>
        <v>2681</v>
      </c>
      <c r="CJ17" s="102">
        <f t="shared" si="17"/>
        <v>3889</v>
      </c>
      <c r="CK17" s="102">
        <f t="shared" si="17"/>
        <v>1983</v>
      </c>
      <c r="CL17" s="102">
        <f t="shared" si="17"/>
        <v>2748</v>
      </c>
      <c r="CM17" s="102">
        <f t="shared" si="17"/>
        <v>3134</v>
      </c>
      <c r="CN17" s="102">
        <f t="shared" si="17"/>
        <v>1805</v>
      </c>
      <c r="CO17" s="102">
        <f t="shared" ref="CO17:CX20" si="18">SUMIF($B$1:$CC$1,"&lt;="&amp;VALUE(RIGHT(CO$2,2)&amp;IF(LEFT(CO$2,2)="1S",2,IF(LEFT(CO$2,2)="9M",3,4))),$B17:$CC17)-
SUMIF($B$1:$CC$1,"&lt;"&amp;VALUE(RIGHT(CO$2,2))&amp;"0",$B17:$CC17)</f>
        <v>3146</v>
      </c>
      <c r="CP17" s="102">
        <f t="shared" si="18"/>
        <v>6022</v>
      </c>
      <c r="CQ17" s="102">
        <f t="shared" si="18"/>
        <v>3931</v>
      </c>
      <c r="CR17" s="102">
        <f t="shared" si="18"/>
        <v>5276</v>
      </c>
      <c r="CS17" s="102">
        <f t="shared" si="18"/>
        <v>6683</v>
      </c>
      <c r="CT17" s="102">
        <f t="shared" si="18"/>
        <v>1686</v>
      </c>
      <c r="CU17" s="102">
        <f t="shared" si="18"/>
        <v>3156</v>
      </c>
      <c r="CV17" s="102">
        <f t="shared" si="18"/>
        <v>3910</v>
      </c>
      <c r="CW17" s="102">
        <f t="shared" si="18"/>
        <v>2104</v>
      </c>
      <c r="CX17" s="102">
        <f t="shared" si="18"/>
        <v>3043</v>
      </c>
      <c r="CY17" s="102">
        <f t="shared" ref="CY17:DH20" si="19">SUMIF($B$1:$CC$1,"&lt;="&amp;VALUE(RIGHT(CY$2,2)&amp;IF(LEFT(CY$2,2)="1S",2,IF(LEFT(CY$2,2)="9M",3,4))),$B17:$CC17)-
SUMIF($B$1:$CC$1,"&lt;"&amp;VALUE(RIGHT(CY$2,2))&amp;"0",$B17:$CC17)</f>
        <v>3821</v>
      </c>
      <c r="CZ17" s="102">
        <f t="shared" si="19"/>
        <v>993</v>
      </c>
      <c r="DA17" s="102">
        <f t="shared" si="19"/>
        <v>1405</v>
      </c>
      <c r="DB17" s="102">
        <f t="shared" si="19"/>
        <v>1675</v>
      </c>
      <c r="DC17" s="102">
        <f t="shared" si="19"/>
        <v>935.44830376382743</v>
      </c>
      <c r="DD17" s="102">
        <f t="shared" si="19"/>
        <v>1319.4483037638274</v>
      </c>
      <c r="DE17" s="102">
        <f t="shared" si="19"/>
        <v>1413.4483037638274</v>
      </c>
      <c r="DF17" s="102">
        <f t="shared" si="19"/>
        <v>427.59601569218648</v>
      </c>
      <c r="DG17" s="102">
        <f t="shared" si="19"/>
        <v>263.59601569218648</v>
      </c>
      <c r="DH17" s="102">
        <f t="shared" si="19"/>
        <v>517.59601569218648</v>
      </c>
      <c r="DI17" s="102">
        <f t="shared" ref="DI17:DR20" si="20">SUMIF($B$1:$CC$1,"&lt;="&amp;VALUE(RIGHT(DI$2,2)&amp;IF(LEFT(DI$2,2)="1S",2,IF(LEFT(DI$2,2)="9M",3,4))),$B17:$CC17)-
SUMIF($B$1:$CC$1,"&lt;"&amp;VALUE(RIGHT(DI$2,2))&amp;"0",$B17:$CC17)</f>
        <v>601</v>
      </c>
      <c r="DJ17" s="102">
        <f t="shared" si="20"/>
        <v>751</v>
      </c>
      <c r="DK17" s="102">
        <f t="shared" si="20"/>
        <v>1074</v>
      </c>
      <c r="DL17" s="102">
        <f t="shared" si="20"/>
        <v>551</v>
      </c>
      <c r="DM17" s="102">
        <f t="shared" si="20"/>
        <v>591</v>
      </c>
      <c r="DN17" s="102">
        <f t="shared" si="20"/>
        <v>955</v>
      </c>
      <c r="DO17" s="102">
        <f t="shared" si="20"/>
        <v>631</v>
      </c>
      <c r="DP17" s="102">
        <f t="shared" si="20"/>
        <v>1011</v>
      </c>
      <c r="DQ17" s="102">
        <f t="shared" si="20"/>
        <v>1764</v>
      </c>
      <c r="DR17" s="102">
        <f t="shared" si="20"/>
        <v>515</v>
      </c>
      <c r="DS17" s="102">
        <f t="shared" ref="DS17:EB20" si="21">SUMIF($B$1:$CC$1,"&lt;="&amp;VALUE(RIGHT(DS$2,2)&amp;IF(LEFT(DS$2,2)="1S",2,IF(LEFT(DS$2,2)="9M",3,4))),$B17:$CC17)-
SUMIF($B$1:$CC$1,"&lt;"&amp;VALUE(RIGHT(DS$2,2))&amp;"0",$B17:$CC17)</f>
        <v>836</v>
      </c>
      <c r="DT17" s="102">
        <f t="shared" si="21"/>
        <v>1086</v>
      </c>
      <c r="DU17" s="102">
        <f t="shared" si="21"/>
        <v>184</v>
      </c>
      <c r="DV17" s="102">
        <f t="shared" si="21"/>
        <v>291</v>
      </c>
      <c r="DW17" s="102">
        <f t="shared" si="21"/>
        <v>503</v>
      </c>
      <c r="DX17" s="102">
        <f t="shared" si="21"/>
        <v>192</v>
      </c>
      <c r="DY17" s="102">
        <f t="shared" si="21"/>
        <v>343</v>
      </c>
      <c r="DZ17" s="102">
        <f t="shared" si="21"/>
        <v>508</v>
      </c>
      <c r="EA17" s="102">
        <f t="shared" si="21"/>
        <v>176</v>
      </c>
      <c r="EB17" s="102">
        <f t="shared" si="21"/>
        <v>299</v>
      </c>
      <c r="EC17" s="102">
        <f t="shared" ref="EC17:EI20" si="22">SUMIF($B$1:$CC$1,"&lt;="&amp;VALUE(RIGHT(EC$2,2)&amp;IF(LEFT(EC$2,2)="1S",2,IF(LEFT(EC$2,2)="9M",3,4))),$B17:$CC17)-
SUMIF($B$1:$CC$1,"&lt;"&amp;VALUE(RIGHT(EC$2,2))&amp;"0",$B17:$CC17)</f>
        <v>448</v>
      </c>
      <c r="ED17" s="102">
        <f t="shared" si="22"/>
        <v>832</v>
      </c>
      <c r="EE17" s="102">
        <f t="shared" si="22"/>
        <v>2006</v>
      </c>
      <c r="EF17" s="102">
        <f t="shared" si="22"/>
        <v>2561</v>
      </c>
      <c r="EG17" s="102">
        <f t="shared" si="22"/>
        <v>1248</v>
      </c>
      <c r="EH17" s="102">
        <f t="shared" si="22"/>
        <v>1479</v>
      </c>
      <c r="EI17" s="102">
        <f t="shared" si="22"/>
        <v>1669</v>
      </c>
    </row>
    <row r="18" spans="1:139" x14ac:dyDescent="0.3">
      <c r="B18" s="63" t="s">
        <v>124</v>
      </c>
      <c r="C18" s="133" t="s">
        <v>515</v>
      </c>
      <c r="D18" s="133" t="str">
        <f>IF(Menu!$D$12="PT",B18,C18)</f>
        <v>Área útil comercializada (m²)</v>
      </c>
      <c r="E18" s="61">
        <v>13319.97</v>
      </c>
      <c r="F18" s="61">
        <v>26034.48</v>
      </c>
      <c r="G18" s="61">
        <v>54165.87</v>
      </c>
      <c r="H18" s="61">
        <v>114365.05</v>
      </c>
      <c r="I18" s="61">
        <v>125183.75999999991</v>
      </c>
      <c r="J18" s="61">
        <v>264023.65999999968</v>
      </c>
      <c r="K18" s="61">
        <v>108442.07999999964</v>
      </c>
      <c r="L18" s="61">
        <v>85996.160000000003</v>
      </c>
      <c r="M18" s="61">
        <v>68810.46000000005</v>
      </c>
      <c r="N18" s="61">
        <v>92979.45000000007</v>
      </c>
      <c r="O18" s="61">
        <v>67543.099999999991</v>
      </c>
      <c r="P18" s="61">
        <v>38482.75999999998</v>
      </c>
      <c r="Q18" s="61">
        <v>55655.909999999996</v>
      </c>
      <c r="R18" s="61">
        <v>76012.710002999986</v>
      </c>
      <c r="S18" s="61">
        <v>102778.039727</v>
      </c>
      <c r="T18" s="61">
        <v>222329.19986200077</v>
      </c>
      <c r="U18" s="61">
        <v>171603.80000000042</v>
      </c>
      <c r="V18" s="61">
        <v>197960.87999999998</v>
      </c>
      <c r="W18" s="61">
        <v>96735.640000000043</v>
      </c>
      <c r="X18" s="61">
        <v>107905.39999999964</v>
      </c>
      <c r="Y18" s="61">
        <v>74411.030000000101</v>
      </c>
      <c r="Z18" s="61">
        <v>100679.53000000001</v>
      </c>
      <c r="AA18" s="61">
        <v>96474.559999999808</v>
      </c>
      <c r="AB18" s="61">
        <v>52859.400000000118</v>
      </c>
      <c r="AC18" s="61">
        <v>119579.25000000012</v>
      </c>
      <c r="AD18" s="61">
        <v>104289.79999999922</v>
      </c>
      <c r="AE18" s="61">
        <v>74279.93000000008</v>
      </c>
      <c r="AF18" s="61">
        <v>56305.699999999946</v>
      </c>
      <c r="AG18" s="61">
        <v>35741.749999999978</v>
      </c>
      <c r="AH18" s="61">
        <v>19952.419999999969</v>
      </c>
      <c r="AI18" s="61">
        <v>29552.359999999982</v>
      </c>
      <c r="AJ18" s="61">
        <v>19112.50999999998</v>
      </c>
      <c r="AK18" s="61">
        <v>44275.269999999982</v>
      </c>
      <c r="AL18" s="61">
        <v>23075.428303763823</v>
      </c>
      <c r="AM18" s="61">
        <v>28266.139999999992</v>
      </c>
      <c r="AN18" s="61">
        <v>2466.0000000000091</v>
      </c>
      <c r="AO18" s="61">
        <v>21230.680000000026</v>
      </c>
      <c r="AP18" s="61">
        <v>5213.4300000000012</v>
      </c>
      <c r="AQ18" s="61">
        <v>-8390.2699999999822</v>
      </c>
      <c r="AR18" s="61">
        <v>38757.680000000008</v>
      </c>
      <c r="AS18" s="61">
        <v>27311.079999999991</v>
      </c>
      <c r="AT18" s="61">
        <v>15373.849999999966</v>
      </c>
      <c r="AU18" s="61">
        <v>13740.109999999928</v>
      </c>
      <c r="AV18" s="61">
        <v>30296.889999999967</v>
      </c>
      <c r="AW18" s="61">
        <v>26465.700000000073</v>
      </c>
      <c r="AX18" s="61">
        <v>25702.829999999994</v>
      </c>
      <c r="AY18" s="61">
        <v>1697.8699999999826</v>
      </c>
      <c r="AZ18" s="61">
        <v>28181.870000000079</v>
      </c>
      <c r="BA18" s="61">
        <v>30635.630000000045</v>
      </c>
      <c r="BB18" s="61">
        <v>37005.700000000004</v>
      </c>
      <c r="BC18" s="61">
        <v>31040.249999999975</v>
      </c>
      <c r="BD18" s="61">
        <v>49447.069999999992</v>
      </c>
      <c r="BE18" s="61">
        <v>24813.820000000018</v>
      </c>
      <c r="BF18" s="61">
        <v>22155.320000000014</v>
      </c>
      <c r="BG18" s="102">
        <v>28800.460000000043</v>
      </c>
      <c r="BH18" s="61">
        <v>21870.609999999986</v>
      </c>
      <c r="BI18" s="61">
        <v>8757.7199999999975</v>
      </c>
      <c r="BJ18" s="61">
        <v>6633.56</v>
      </c>
      <c r="BK18" s="61">
        <v>10055.66</v>
      </c>
      <c r="BL18" s="61">
        <v>11559.260000000002</v>
      </c>
      <c r="BM18" s="61">
        <v>8968.5699999999979</v>
      </c>
      <c r="BN18" s="61">
        <v>10212.390000000001</v>
      </c>
      <c r="BO18" s="61">
        <v>13713.249999999993</v>
      </c>
      <c r="BP18" s="61">
        <v>19227.669999999991</v>
      </c>
      <c r="BQ18" s="61">
        <v>10774.939999999999</v>
      </c>
      <c r="BR18" s="61">
        <v>7752.2300000000023</v>
      </c>
      <c r="BS18" s="61">
        <v>12648.479999999998</v>
      </c>
      <c r="BT18" s="61">
        <v>17663.399999999998</v>
      </c>
      <c r="BU18" s="61">
        <v>17711.909999999989</v>
      </c>
      <c r="BV18" s="61">
        <v>37120.399999999994</v>
      </c>
      <c r="BW18" s="61">
        <v>54363.229999999996</v>
      </c>
      <c r="BX18" s="61">
        <v>32481.190000000002</v>
      </c>
      <c r="BY18" s="61">
        <v>41666.870000000003</v>
      </c>
      <c r="BZ18" s="61">
        <v>16712.739999999998</v>
      </c>
      <c r="CA18" s="61">
        <v>14622.569999999998</v>
      </c>
      <c r="CB18" s="61">
        <v>13985.809999999996</v>
      </c>
      <c r="CE18" s="102">
        <f t="shared" si="17"/>
        <v>39354.449999999997</v>
      </c>
      <c r="CF18" s="102">
        <f t="shared" si="17"/>
        <v>93520.320000000007</v>
      </c>
      <c r="CG18" s="102">
        <f t="shared" si="17"/>
        <v>207885.37</v>
      </c>
      <c r="CH18" s="102">
        <f t="shared" si="17"/>
        <v>389207.41999999958</v>
      </c>
      <c r="CI18" s="102">
        <f t="shared" si="17"/>
        <v>497649.49999999919</v>
      </c>
      <c r="CJ18" s="102">
        <f t="shared" si="17"/>
        <v>583645.65999999922</v>
      </c>
      <c r="CK18" s="102">
        <f t="shared" si="17"/>
        <v>161789.91000000015</v>
      </c>
      <c r="CL18" s="102">
        <f t="shared" si="17"/>
        <v>229333.01000000013</v>
      </c>
      <c r="CM18" s="102">
        <f t="shared" si="17"/>
        <v>267815.77000000014</v>
      </c>
      <c r="CN18" s="102">
        <f t="shared" si="17"/>
        <v>131668.6200029999</v>
      </c>
      <c r="CO18" s="102">
        <f t="shared" si="18"/>
        <v>234446.65972999996</v>
      </c>
      <c r="CP18" s="102">
        <f t="shared" si="18"/>
        <v>456775.85959200072</v>
      </c>
      <c r="CQ18" s="102">
        <f t="shared" si="18"/>
        <v>369564.6800000004</v>
      </c>
      <c r="CR18" s="102">
        <f t="shared" si="18"/>
        <v>466300.32000000053</v>
      </c>
      <c r="CS18" s="102">
        <f t="shared" si="18"/>
        <v>574205.7200000002</v>
      </c>
      <c r="CT18" s="102">
        <f t="shared" si="18"/>
        <v>175090.55999999982</v>
      </c>
      <c r="CU18" s="102">
        <f t="shared" si="18"/>
        <v>271565.11999999941</v>
      </c>
      <c r="CV18" s="102">
        <f t="shared" si="18"/>
        <v>324424.51999999932</v>
      </c>
      <c r="CW18" s="102">
        <f t="shared" si="18"/>
        <v>223869.04999999935</v>
      </c>
      <c r="CX18" s="102">
        <f t="shared" si="18"/>
        <v>298148.97999999952</v>
      </c>
      <c r="CY18" s="102">
        <f t="shared" si="19"/>
        <v>354454.67999999924</v>
      </c>
      <c r="CZ18" s="102">
        <f t="shared" si="19"/>
        <v>55694.169999999925</v>
      </c>
      <c r="DA18" s="102">
        <f t="shared" si="19"/>
        <v>85246.529999999795</v>
      </c>
      <c r="DB18" s="102">
        <f t="shared" si="19"/>
        <v>104359.03999999957</v>
      </c>
      <c r="DC18" s="102">
        <f t="shared" si="19"/>
        <v>67350.698303763755</v>
      </c>
      <c r="DD18" s="102">
        <f t="shared" si="19"/>
        <v>95616.838303763885</v>
      </c>
      <c r="DE18" s="102">
        <f t="shared" si="19"/>
        <v>98082.838303763885</v>
      </c>
      <c r="DF18" s="102">
        <f t="shared" si="19"/>
        <v>26444.110000000335</v>
      </c>
      <c r="DG18" s="102">
        <f t="shared" si="19"/>
        <v>18053.840000000317</v>
      </c>
      <c r="DH18" s="102">
        <f t="shared" si="19"/>
        <v>56811.520000000484</v>
      </c>
      <c r="DI18" s="102">
        <f t="shared" si="20"/>
        <v>42684.930000000168</v>
      </c>
      <c r="DJ18" s="102">
        <f t="shared" si="20"/>
        <v>56425.040000000037</v>
      </c>
      <c r="DK18" s="102">
        <f t="shared" si="20"/>
        <v>86721.930000000168</v>
      </c>
      <c r="DL18" s="102">
        <f t="shared" si="20"/>
        <v>52168.530000000261</v>
      </c>
      <c r="DM18" s="102">
        <f t="shared" si="20"/>
        <v>53866.400000000373</v>
      </c>
      <c r="DN18" s="102">
        <f t="shared" si="20"/>
        <v>82048.270000000484</v>
      </c>
      <c r="DO18" s="102">
        <f t="shared" si="20"/>
        <v>67641.330000000075</v>
      </c>
      <c r="DP18" s="102">
        <f t="shared" si="20"/>
        <v>98681.580000000075</v>
      </c>
      <c r="DQ18" s="102">
        <f t="shared" si="20"/>
        <v>148128.64999999991</v>
      </c>
      <c r="DR18" s="102">
        <f t="shared" si="20"/>
        <v>46969.139999999665</v>
      </c>
      <c r="DS18" s="102">
        <f t="shared" si="21"/>
        <v>75769.599999999627</v>
      </c>
      <c r="DT18" s="102">
        <f t="shared" si="21"/>
        <v>97640.209999999497</v>
      </c>
      <c r="DU18" s="102">
        <f t="shared" si="21"/>
        <v>15391.280000000261</v>
      </c>
      <c r="DV18" s="102">
        <f t="shared" si="21"/>
        <v>25446.94000000041</v>
      </c>
      <c r="DW18" s="102">
        <f t="shared" si="21"/>
        <v>37006.200000000186</v>
      </c>
      <c r="DX18" s="102">
        <f t="shared" si="21"/>
        <v>19180.959999999963</v>
      </c>
      <c r="DY18" s="102">
        <f t="shared" si="21"/>
        <v>32894.209999999963</v>
      </c>
      <c r="DZ18" s="102">
        <f t="shared" si="21"/>
        <v>52121.879999999888</v>
      </c>
      <c r="EA18" s="102">
        <f t="shared" si="21"/>
        <v>18527.169999999925</v>
      </c>
      <c r="EB18" s="102">
        <f t="shared" si="21"/>
        <v>31175.649999999907</v>
      </c>
      <c r="EC18" s="102">
        <f t="shared" si="22"/>
        <v>48839.049999999814</v>
      </c>
      <c r="ED18" s="102">
        <f t="shared" si="22"/>
        <v>54832.310000000056</v>
      </c>
      <c r="EE18" s="102">
        <f t="shared" si="22"/>
        <v>109195.54000000004</v>
      </c>
      <c r="EF18" s="102">
        <f t="shared" si="22"/>
        <v>141676.72999999998</v>
      </c>
      <c r="EG18" s="102">
        <f t="shared" si="22"/>
        <v>58379.610000000335</v>
      </c>
      <c r="EH18" s="102">
        <f t="shared" si="22"/>
        <v>73002.180000000168</v>
      </c>
      <c r="EI18" s="102">
        <f t="shared" si="22"/>
        <v>86987.990000000224</v>
      </c>
    </row>
    <row r="19" spans="1:139" x14ac:dyDescent="0.3">
      <c r="B19" s="63" t="s">
        <v>123</v>
      </c>
      <c r="C19" s="133" t="s">
        <v>516</v>
      </c>
      <c r="D19" s="133" t="str">
        <f>IF(Menu!$D$12="PT",B19,C19)</f>
        <v>Vendas contratadas (R$ mil) - 100%</v>
      </c>
      <c r="E19" s="61">
        <v>44552.609780000006</v>
      </c>
      <c r="F19" s="61">
        <v>61641.775240000003</v>
      </c>
      <c r="G19" s="61">
        <v>165662.49287999998</v>
      </c>
      <c r="H19" s="61">
        <v>330453.62258000002</v>
      </c>
      <c r="I19" s="61">
        <v>217701.00997000004</v>
      </c>
      <c r="J19" s="61">
        <v>389630.27141000004</v>
      </c>
      <c r="K19" s="61">
        <v>312149.31815000001</v>
      </c>
      <c r="L19" s="61">
        <v>302283.82200562727</v>
      </c>
      <c r="M19" s="61">
        <v>253095.46917000005</v>
      </c>
      <c r="N19" s="61">
        <v>337397.75278999994</v>
      </c>
      <c r="O19" s="61">
        <v>248026.82577000002</v>
      </c>
      <c r="P19" s="61">
        <v>148107.32189999998</v>
      </c>
      <c r="Q19" s="61">
        <v>198681.80076000001</v>
      </c>
      <c r="R19" s="61">
        <v>274596.58546000003</v>
      </c>
      <c r="S19" s="61">
        <v>415673.70066999999</v>
      </c>
      <c r="T19" s="61">
        <v>982480.59872999997</v>
      </c>
      <c r="U19" s="61">
        <v>624430.75657000009</v>
      </c>
      <c r="V19" s="61">
        <v>640312.18281999999</v>
      </c>
      <c r="W19" s="61">
        <v>485431.69099999999</v>
      </c>
      <c r="X19" s="61">
        <v>514566.85074999998</v>
      </c>
      <c r="Y19" s="61">
        <v>354823.61205000005</v>
      </c>
      <c r="Z19" s="61">
        <v>315512.8196478145</v>
      </c>
      <c r="AA19" s="61">
        <v>459779.05780000001</v>
      </c>
      <c r="AB19" s="61">
        <v>278354.24813999992</v>
      </c>
      <c r="AC19" s="61">
        <v>857519.64932615671</v>
      </c>
      <c r="AD19" s="61">
        <v>777074.20016999997</v>
      </c>
      <c r="AE19" s="61">
        <v>419618.07855999994</v>
      </c>
      <c r="AF19" s="61">
        <v>370018.54993999994</v>
      </c>
      <c r="AG19" s="61">
        <v>201769.7853323092</v>
      </c>
      <c r="AH19" s="61">
        <v>271704.46831361239</v>
      </c>
      <c r="AI19" s="61">
        <v>181050.58299999998</v>
      </c>
      <c r="AJ19" s="61">
        <v>174964.73749904099</v>
      </c>
      <c r="AK19" s="61">
        <v>277298.60944572388</v>
      </c>
      <c r="AL19" s="61">
        <v>146400.10258481823</v>
      </c>
      <c r="AM19" s="61">
        <v>157693.29552853425</v>
      </c>
      <c r="AN19" s="61">
        <v>26484.367173178354</v>
      </c>
      <c r="AO19" s="61">
        <v>75174.02447609081</v>
      </c>
      <c r="AP19" s="61">
        <v>36631.878559337893</v>
      </c>
      <c r="AQ19" s="61">
        <v>4159.5625481894058</v>
      </c>
      <c r="AR19" s="61">
        <v>269104.88684000005</v>
      </c>
      <c r="AS19" s="61">
        <v>152412.49419999999</v>
      </c>
      <c r="AT19" s="61">
        <v>91189.926629999973</v>
      </c>
      <c r="AU19" s="61">
        <v>89173.362770000123</v>
      </c>
      <c r="AV19" s="61">
        <v>178227.32969999991</v>
      </c>
      <c r="AW19" s="61">
        <v>132473.30336000002</v>
      </c>
      <c r="AX19" s="61">
        <v>126401.13943000001</v>
      </c>
      <c r="AY19" s="61">
        <v>-451.21973999998858</v>
      </c>
      <c r="AZ19" s="61">
        <v>132714.63673000006</v>
      </c>
      <c r="BA19" s="61">
        <v>150349.53578999999</v>
      </c>
      <c r="BB19" s="61">
        <v>234181.50781000001</v>
      </c>
      <c r="BC19" s="61">
        <v>178328.95213000002</v>
      </c>
      <c r="BD19" s="61">
        <v>293380.04761000013</v>
      </c>
      <c r="BE19" s="61">
        <v>118996.96626</v>
      </c>
      <c r="BF19" s="61">
        <v>59713.073959999972</v>
      </c>
      <c r="BG19" s="102">
        <v>125533.61629000001</v>
      </c>
      <c r="BH19" s="61">
        <v>157686.22219000003</v>
      </c>
      <c r="BI19" s="61">
        <v>66737.35454</v>
      </c>
      <c r="BJ19" s="61">
        <v>59274.437000000005</v>
      </c>
      <c r="BK19" s="61">
        <v>86177.933979999958</v>
      </c>
      <c r="BL19" s="61">
        <v>108220.44291000001</v>
      </c>
      <c r="BM19" s="61">
        <v>81827.065700000006</v>
      </c>
      <c r="BN19" s="61">
        <v>101557.36388999998</v>
      </c>
      <c r="BO19" s="61">
        <v>147268.26037999999</v>
      </c>
      <c r="BP19" s="61">
        <v>379374.08814991382</v>
      </c>
      <c r="BQ19" s="61">
        <v>144330.3236</v>
      </c>
      <c r="BR19" s="61">
        <v>115016.73231000001</v>
      </c>
      <c r="BS19" s="61">
        <v>151965.64898999999</v>
      </c>
      <c r="BT19" s="61">
        <v>224564.68458999999</v>
      </c>
      <c r="BU19" s="61">
        <v>238335.01186000003</v>
      </c>
      <c r="BV19" s="61">
        <v>399368.42543000006</v>
      </c>
      <c r="BW19" s="61">
        <v>379467.29546000011</v>
      </c>
      <c r="BX19" s="61">
        <v>306127.60313</v>
      </c>
      <c r="BY19" s="61">
        <v>299158.72875999974</v>
      </c>
      <c r="BZ19" s="61">
        <v>134396.47126000002</v>
      </c>
      <c r="CA19" s="61">
        <v>161487.87076000002</v>
      </c>
      <c r="CB19" s="61">
        <v>171805.94718000002</v>
      </c>
      <c r="CE19" s="102">
        <f t="shared" si="17"/>
        <v>106194.38502000002</v>
      </c>
      <c r="CF19" s="102">
        <f t="shared" si="17"/>
        <v>271856.87789999996</v>
      </c>
      <c r="CG19" s="102">
        <f t="shared" si="17"/>
        <v>602310.50047999993</v>
      </c>
      <c r="CH19" s="102">
        <f t="shared" si="17"/>
        <v>607331.28138000006</v>
      </c>
      <c r="CI19" s="102">
        <f t="shared" si="17"/>
        <v>919480.59953000001</v>
      </c>
      <c r="CJ19" s="102">
        <f t="shared" si="17"/>
        <v>1221764.4215356272</v>
      </c>
      <c r="CK19" s="102">
        <f t="shared" si="17"/>
        <v>590493.22196</v>
      </c>
      <c r="CL19" s="102">
        <f t="shared" si="17"/>
        <v>838520.04772999999</v>
      </c>
      <c r="CM19" s="102">
        <f t="shared" si="17"/>
        <v>986627.36962999986</v>
      </c>
      <c r="CN19" s="102">
        <f t="shared" si="17"/>
        <v>473278.38622000022</v>
      </c>
      <c r="CO19" s="102">
        <f t="shared" si="18"/>
        <v>888952.08689000038</v>
      </c>
      <c r="CP19" s="102">
        <f t="shared" si="18"/>
        <v>1871432.6856200001</v>
      </c>
      <c r="CQ19" s="102">
        <f t="shared" si="18"/>
        <v>1264742.93939</v>
      </c>
      <c r="CR19" s="102">
        <f t="shared" si="18"/>
        <v>1750174.6303899996</v>
      </c>
      <c r="CS19" s="102">
        <f t="shared" si="18"/>
        <v>2264741.4811399998</v>
      </c>
      <c r="CT19" s="102">
        <f t="shared" si="18"/>
        <v>670336.43169781379</v>
      </c>
      <c r="CU19" s="102">
        <f t="shared" si="18"/>
        <v>1130115.4894978134</v>
      </c>
      <c r="CV19" s="102">
        <f t="shared" si="18"/>
        <v>1408469.7376378132</v>
      </c>
      <c r="CW19" s="102">
        <f t="shared" si="18"/>
        <v>1634593.849496155</v>
      </c>
      <c r="CX19" s="102">
        <f t="shared" si="18"/>
        <v>2054211.9280561553</v>
      </c>
      <c r="CY19" s="102">
        <f t="shared" si="19"/>
        <v>2424230.4779961547</v>
      </c>
      <c r="CZ19" s="102">
        <f t="shared" si="19"/>
        <v>473474.25364592113</v>
      </c>
      <c r="DA19" s="102">
        <f t="shared" si="19"/>
        <v>654524.83664592169</v>
      </c>
      <c r="DB19" s="102">
        <f t="shared" si="19"/>
        <v>829489.57414496318</v>
      </c>
      <c r="DC19" s="102">
        <f t="shared" si="19"/>
        <v>423698.71203054301</v>
      </c>
      <c r="DD19" s="102">
        <f t="shared" si="19"/>
        <v>581392.00755907781</v>
      </c>
      <c r="DE19" s="102">
        <f t="shared" si="19"/>
        <v>607876.37473225594</v>
      </c>
      <c r="DF19" s="102">
        <f t="shared" si="19"/>
        <v>111805.90303542838</v>
      </c>
      <c r="DG19" s="102">
        <f t="shared" si="19"/>
        <v>115965.46558361687</v>
      </c>
      <c r="DH19" s="102">
        <f t="shared" si="19"/>
        <v>385070.35242361762</v>
      </c>
      <c r="DI19" s="102">
        <f t="shared" si="20"/>
        <v>243602.42083000019</v>
      </c>
      <c r="DJ19" s="102">
        <f t="shared" si="20"/>
        <v>332775.78360000066</v>
      </c>
      <c r="DK19" s="102">
        <f t="shared" si="20"/>
        <v>511003.11330000125</v>
      </c>
      <c r="DL19" s="102">
        <f t="shared" si="20"/>
        <v>258874.44278999977</v>
      </c>
      <c r="DM19" s="102">
        <f t="shared" si="20"/>
        <v>258423.22305000015</v>
      </c>
      <c r="DN19" s="102">
        <f t="shared" si="20"/>
        <v>391137.85978000052</v>
      </c>
      <c r="DO19" s="102">
        <f t="shared" si="20"/>
        <v>384531.04360000044</v>
      </c>
      <c r="DP19" s="102">
        <f t="shared" si="20"/>
        <v>562859.99572999962</v>
      </c>
      <c r="DQ19" s="102">
        <f t="shared" si="20"/>
        <v>856240.04333999939</v>
      </c>
      <c r="DR19" s="102">
        <f t="shared" si="20"/>
        <v>178710.04021999985</v>
      </c>
      <c r="DS19" s="102">
        <f t="shared" si="21"/>
        <v>304243.65650999919</v>
      </c>
      <c r="DT19" s="102">
        <f t="shared" si="21"/>
        <v>461929.8786999993</v>
      </c>
      <c r="DU19" s="102">
        <f t="shared" si="21"/>
        <v>126011.79154000059</v>
      </c>
      <c r="DV19" s="102">
        <f t="shared" si="21"/>
        <v>212189.72551999986</v>
      </c>
      <c r="DW19" s="102">
        <f t="shared" si="21"/>
        <v>320410.16843000054</v>
      </c>
      <c r="DX19" s="102">
        <f t="shared" si="21"/>
        <v>183384.42958999984</v>
      </c>
      <c r="DY19" s="102">
        <f t="shared" si="21"/>
        <v>330652.68996999972</v>
      </c>
      <c r="DZ19" s="102">
        <f t="shared" si="21"/>
        <v>710026.77811991423</v>
      </c>
      <c r="EA19" s="102">
        <f t="shared" si="21"/>
        <v>259347.05591000058</v>
      </c>
      <c r="EB19" s="102">
        <f t="shared" si="21"/>
        <v>411312.70490000024</v>
      </c>
      <c r="EC19" s="102">
        <f t="shared" si="22"/>
        <v>635877.3894900009</v>
      </c>
      <c r="ED19" s="102">
        <f t="shared" si="22"/>
        <v>637703.43729000166</v>
      </c>
      <c r="EE19" s="102">
        <f t="shared" si="22"/>
        <v>1017170.7327500023</v>
      </c>
      <c r="EF19" s="102">
        <f t="shared" si="22"/>
        <v>1323298.3358800039</v>
      </c>
      <c r="EG19" s="102">
        <f t="shared" si="22"/>
        <v>433555.20002000034</v>
      </c>
      <c r="EH19" s="102">
        <f t="shared" si="22"/>
        <v>595043.07078000158</v>
      </c>
      <c r="EI19" s="102">
        <f t="shared" si="22"/>
        <v>766849.01796000078</v>
      </c>
    </row>
    <row r="20" spans="1:139" x14ac:dyDescent="0.3">
      <c r="B20" s="63" t="s">
        <v>122</v>
      </c>
      <c r="C20" s="133" t="s">
        <v>517</v>
      </c>
      <c r="D20" s="133" t="str">
        <f>IF(Menu!$D$12="PT",B20,C20)</f>
        <v>Vendas contratadas (R$ mil) - % TECNISA</v>
      </c>
      <c r="E20" s="61">
        <v>40795.728052999999</v>
      </c>
      <c r="F20" s="61">
        <v>61123.894379999998</v>
      </c>
      <c r="G20" s="61">
        <v>163444.42782000001</v>
      </c>
      <c r="H20" s="61">
        <v>171934.17153600001</v>
      </c>
      <c r="I20" s="61">
        <v>153199.07649915002</v>
      </c>
      <c r="J20" s="61">
        <v>308126.45299010014</v>
      </c>
      <c r="K20" s="61">
        <v>227917.99490335002</v>
      </c>
      <c r="L20" s="61">
        <v>231057.67142822911</v>
      </c>
      <c r="M20" s="61">
        <v>186447.66496199998</v>
      </c>
      <c r="N20" s="61">
        <v>260794.46256309995</v>
      </c>
      <c r="O20" s="61">
        <v>196495.5600728</v>
      </c>
      <c r="P20" s="61">
        <v>105261.06544614998</v>
      </c>
      <c r="Q20" s="61">
        <v>157125.04073055001</v>
      </c>
      <c r="R20" s="61">
        <v>228699.86422814996</v>
      </c>
      <c r="S20" s="61">
        <v>374639.07844785001</v>
      </c>
      <c r="T20" s="61">
        <v>777923.28210529999</v>
      </c>
      <c r="U20" s="61">
        <v>546624.93412840005</v>
      </c>
      <c r="V20" s="61">
        <v>543483.8551499499</v>
      </c>
      <c r="W20" s="61">
        <v>336928.88699999999</v>
      </c>
      <c r="X20" s="61">
        <v>403751.79931104998</v>
      </c>
      <c r="Y20" s="61">
        <v>253197.79686376301</v>
      </c>
      <c r="Z20" s="61">
        <v>235741.07954222301</v>
      </c>
      <c r="AA20" s="61">
        <v>373348.03909984202</v>
      </c>
      <c r="AB20" s="61">
        <v>230519.37077064606</v>
      </c>
      <c r="AC20" s="61">
        <v>633620.69523410802</v>
      </c>
      <c r="AD20" s="61">
        <v>560593.89161240822</v>
      </c>
      <c r="AE20" s="61">
        <v>309654.49839391402</v>
      </c>
      <c r="AF20" s="61">
        <v>258483.09981789894</v>
      </c>
      <c r="AG20" s="61">
        <v>158913.57823730458</v>
      </c>
      <c r="AH20" s="61">
        <v>215021.13384225848</v>
      </c>
      <c r="AI20" s="61">
        <v>141023.095</v>
      </c>
      <c r="AJ20" s="61">
        <v>136254.79472484501</v>
      </c>
      <c r="AK20" s="61">
        <v>245513.42710009223</v>
      </c>
      <c r="AL20" s="61">
        <v>123769.29236090336</v>
      </c>
      <c r="AM20" s="61">
        <v>134952.74806623938</v>
      </c>
      <c r="AN20" s="61">
        <v>13847.204388000016</v>
      </c>
      <c r="AO20" s="61">
        <v>71815.434585950003</v>
      </c>
      <c r="AP20" s="61">
        <v>37330.015396051196</v>
      </c>
      <c r="AQ20" s="61">
        <v>-389.87358446445069</v>
      </c>
      <c r="AR20" s="61">
        <v>262891.38653450011</v>
      </c>
      <c r="AS20" s="61">
        <v>122174.83806004998</v>
      </c>
      <c r="AT20" s="61">
        <v>77623.949930951989</v>
      </c>
      <c r="AU20" s="61">
        <v>62953.942537199982</v>
      </c>
      <c r="AV20" s="61">
        <v>110072.38722045001</v>
      </c>
      <c r="AW20" s="61">
        <v>84302.69197770505</v>
      </c>
      <c r="AX20" s="61">
        <v>94976.543565550033</v>
      </c>
      <c r="AY20" s="61">
        <v>-4212.3784470379969</v>
      </c>
      <c r="AZ20" s="61">
        <v>98049.345390588991</v>
      </c>
      <c r="BA20" s="61">
        <v>95224.373214642997</v>
      </c>
      <c r="BB20" s="61">
        <v>102751.80511913302</v>
      </c>
      <c r="BC20" s="61">
        <v>100941.26778110002</v>
      </c>
      <c r="BD20" s="61">
        <v>164000.3463103479</v>
      </c>
      <c r="BE20" s="61">
        <v>69749.909065127998</v>
      </c>
      <c r="BF20" s="61">
        <v>47876.641668804979</v>
      </c>
      <c r="BG20" s="102">
        <v>87779.156996795005</v>
      </c>
      <c r="BH20" s="61">
        <v>111957.26618582601</v>
      </c>
      <c r="BI20" s="61">
        <v>54645.862616976003</v>
      </c>
      <c r="BJ20" s="61">
        <v>49699.200484628003</v>
      </c>
      <c r="BK20" s="61">
        <v>79199.090159999949</v>
      </c>
      <c r="BL20" s="61">
        <v>92708.24952088001</v>
      </c>
      <c r="BM20" s="61">
        <v>70262.067368456002</v>
      </c>
      <c r="BN20" s="61">
        <v>88962.027809000007</v>
      </c>
      <c r="BO20" s="61">
        <v>111989.61687168201</v>
      </c>
      <c r="BP20" s="61">
        <v>314165.66673091368</v>
      </c>
      <c r="BQ20" s="61">
        <v>114278.48631949999</v>
      </c>
      <c r="BR20" s="61">
        <v>93131.437968500017</v>
      </c>
      <c r="BS20" s="61">
        <v>121509.02778324997</v>
      </c>
      <c r="BT20" s="61">
        <v>195838.35894600002</v>
      </c>
      <c r="BU20" s="61">
        <v>173256.631998</v>
      </c>
      <c r="BV20" s="61">
        <v>219873.81210100002</v>
      </c>
      <c r="BW20" s="61">
        <v>108337.52767398003</v>
      </c>
      <c r="BX20" s="61">
        <v>145491.85589899003</v>
      </c>
      <c r="BY20" s="61">
        <v>85839.761035979987</v>
      </c>
      <c r="BZ20" s="61">
        <v>66221.134141929986</v>
      </c>
      <c r="CA20" s="61">
        <v>84405.020316744965</v>
      </c>
      <c r="CB20" s="61">
        <v>75992.080705789995</v>
      </c>
      <c r="CE20" s="102">
        <f t="shared" si="17"/>
        <v>101919.622433</v>
      </c>
      <c r="CF20" s="102">
        <f t="shared" si="17"/>
        <v>265364.05025299999</v>
      </c>
      <c r="CG20" s="102">
        <f t="shared" si="17"/>
        <v>437298.22178899997</v>
      </c>
      <c r="CH20" s="102">
        <f t="shared" si="17"/>
        <v>461325.52948925016</v>
      </c>
      <c r="CI20" s="102">
        <f t="shared" si="17"/>
        <v>689243.52439260029</v>
      </c>
      <c r="CJ20" s="102">
        <f t="shared" si="17"/>
        <v>920301.19582082948</v>
      </c>
      <c r="CK20" s="102">
        <f t="shared" si="17"/>
        <v>447242.12752510002</v>
      </c>
      <c r="CL20" s="102">
        <f t="shared" si="17"/>
        <v>643737.68759789993</v>
      </c>
      <c r="CM20" s="102">
        <f t="shared" si="17"/>
        <v>748998.75304404972</v>
      </c>
      <c r="CN20" s="102">
        <f t="shared" si="17"/>
        <v>385824.90495869983</v>
      </c>
      <c r="CO20" s="102">
        <f t="shared" si="18"/>
        <v>760463.98340654979</v>
      </c>
      <c r="CP20" s="102">
        <f t="shared" si="18"/>
        <v>1538387.2655118499</v>
      </c>
      <c r="CQ20" s="102">
        <f t="shared" si="18"/>
        <v>1090108.7892783494</v>
      </c>
      <c r="CR20" s="102">
        <f t="shared" si="18"/>
        <v>1427037.6762783495</v>
      </c>
      <c r="CS20" s="102">
        <f t="shared" si="18"/>
        <v>1830789.4755893997</v>
      </c>
      <c r="CT20" s="102">
        <f t="shared" si="18"/>
        <v>488938.87640598603</v>
      </c>
      <c r="CU20" s="102">
        <f t="shared" si="18"/>
        <v>862286.91550582834</v>
      </c>
      <c r="CV20" s="102">
        <f t="shared" si="18"/>
        <v>1092806.2862764746</v>
      </c>
      <c r="CW20" s="102">
        <f t="shared" si="18"/>
        <v>1194214.5868465165</v>
      </c>
      <c r="CX20" s="102">
        <f t="shared" si="18"/>
        <v>1503869.0852404302</v>
      </c>
      <c r="CY20" s="102">
        <f t="shared" si="19"/>
        <v>1762352.1850583293</v>
      </c>
      <c r="CZ20" s="102">
        <f t="shared" si="19"/>
        <v>373934.71207956318</v>
      </c>
      <c r="DA20" s="102">
        <f t="shared" si="19"/>
        <v>514957.80707956385</v>
      </c>
      <c r="DB20" s="102">
        <f t="shared" si="19"/>
        <v>651212.60180440824</v>
      </c>
      <c r="DC20" s="102">
        <f t="shared" si="19"/>
        <v>369282.71946099587</v>
      </c>
      <c r="DD20" s="102">
        <f t="shared" si="19"/>
        <v>504235.46752723493</v>
      </c>
      <c r="DE20" s="102">
        <f t="shared" si="19"/>
        <v>518082.671915235</v>
      </c>
      <c r="DF20" s="102">
        <f t="shared" si="19"/>
        <v>109145.44998200051</v>
      </c>
      <c r="DG20" s="102">
        <f t="shared" si="19"/>
        <v>108755.57639753632</v>
      </c>
      <c r="DH20" s="102">
        <f t="shared" si="19"/>
        <v>371646.96293203719</v>
      </c>
      <c r="DI20" s="102">
        <f t="shared" si="20"/>
        <v>199798.7879910022</v>
      </c>
      <c r="DJ20" s="102">
        <f t="shared" si="20"/>
        <v>262752.73052820191</v>
      </c>
      <c r="DK20" s="102">
        <f t="shared" si="20"/>
        <v>372825.11774865165</v>
      </c>
      <c r="DL20" s="102">
        <f t="shared" si="20"/>
        <v>179279.23554325663</v>
      </c>
      <c r="DM20" s="102">
        <f t="shared" si="20"/>
        <v>175066.85709621944</v>
      </c>
      <c r="DN20" s="102">
        <f t="shared" si="20"/>
        <v>273116.20248680934</v>
      </c>
      <c r="DO20" s="102">
        <f t="shared" si="20"/>
        <v>197976.17833377607</v>
      </c>
      <c r="DP20" s="102">
        <f t="shared" si="20"/>
        <v>298917.44611487538</v>
      </c>
      <c r="DQ20" s="102">
        <f t="shared" si="20"/>
        <v>462917.79242522269</v>
      </c>
      <c r="DR20" s="102">
        <f t="shared" si="20"/>
        <v>117626.55073393323</v>
      </c>
      <c r="DS20" s="102">
        <f t="shared" si="21"/>
        <v>205405.70773072913</v>
      </c>
      <c r="DT20" s="102">
        <f t="shared" si="21"/>
        <v>317362.97391655482</v>
      </c>
      <c r="DU20" s="102">
        <f t="shared" si="21"/>
        <v>104345.06310160458</v>
      </c>
      <c r="DV20" s="102">
        <f t="shared" si="21"/>
        <v>183544.15326160379</v>
      </c>
      <c r="DW20" s="102">
        <f t="shared" si="21"/>
        <v>276252.40278248303</v>
      </c>
      <c r="DX20" s="102">
        <f t="shared" si="21"/>
        <v>159224.09517745487</v>
      </c>
      <c r="DY20" s="102">
        <f t="shared" si="21"/>
        <v>271213.7120491378</v>
      </c>
      <c r="DZ20" s="102">
        <f t="shared" si="21"/>
        <v>585379.37878005207</v>
      </c>
      <c r="EA20" s="102">
        <f t="shared" si="21"/>
        <v>207409.92428799905</v>
      </c>
      <c r="EB20" s="102">
        <f t="shared" si="21"/>
        <v>328918.95207124949</v>
      </c>
      <c r="EC20" s="102">
        <f t="shared" si="22"/>
        <v>524757.31101724878</v>
      </c>
      <c r="ED20" s="102">
        <f t="shared" si="22"/>
        <v>393130.44409900159</v>
      </c>
      <c r="EE20" s="102">
        <f t="shared" si="22"/>
        <v>501467.97177298181</v>
      </c>
      <c r="EF20" s="102">
        <f t="shared" si="22"/>
        <v>646959.82767197117</v>
      </c>
      <c r="EG20" s="102">
        <f t="shared" si="22"/>
        <v>152060.8951779101</v>
      </c>
      <c r="EH20" s="102">
        <f t="shared" si="22"/>
        <v>236465.91549465433</v>
      </c>
      <c r="EI20" s="102">
        <f t="shared" si="22"/>
        <v>312457.99620044418</v>
      </c>
    </row>
    <row r="21" spans="1:139" x14ac:dyDescent="0.3">
      <c r="AF21" s="72"/>
      <c r="AG21" s="74"/>
      <c r="AH21" s="78"/>
      <c r="AI21" s="72"/>
      <c r="AJ21" s="72"/>
      <c r="AK21" s="72"/>
      <c r="AL21" s="72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</row>
    <row r="22" spans="1:139" x14ac:dyDescent="0.3">
      <c r="B22" s="63" t="s">
        <v>359</v>
      </c>
      <c r="C22" s="133" t="s">
        <v>518</v>
      </c>
      <c r="D22" s="133" t="str">
        <f>IF(Menu!$D$12="PT",B22,C22)</f>
        <v>Unidades Distratadas</v>
      </c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>
        <v>-503</v>
      </c>
      <c r="AD22" s="61">
        <v>-462</v>
      </c>
      <c r="AE22" s="61">
        <v>-446</v>
      </c>
      <c r="AF22" s="61">
        <v>-448</v>
      </c>
      <c r="AG22" s="61">
        <v>-389</v>
      </c>
      <c r="AH22" s="61">
        <v>-494</v>
      </c>
      <c r="AI22" s="61">
        <v>-462</v>
      </c>
      <c r="AJ22" s="61">
        <v>-634</v>
      </c>
      <c r="AK22" s="61">
        <v>-560</v>
      </c>
      <c r="AL22" s="61">
        <v>-645</v>
      </c>
      <c r="AM22" s="61">
        <v>-526</v>
      </c>
      <c r="AN22" s="61">
        <v>-552</v>
      </c>
      <c r="AO22" s="61">
        <v>-418</v>
      </c>
      <c r="AP22" s="61">
        <v>-531</v>
      </c>
      <c r="AQ22" s="61">
        <v>-631</v>
      </c>
      <c r="AR22" s="61">
        <v>-381</v>
      </c>
      <c r="AS22" s="61">
        <v>-283</v>
      </c>
      <c r="AT22" s="102">
        <v>-555</v>
      </c>
      <c r="AU22" s="61">
        <v>-394</v>
      </c>
      <c r="AV22" s="61">
        <v>-247</v>
      </c>
      <c r="AW22" s="61">
        <v>-237</v>
      </c>
      <c r="AX22" s="61">
        <v>-182</v>
      </c>
      <c r="AY22" s="61">
        <v>-171</v>
      </c>
      <c r="AZ22" s="61">
        <v>-78</v>
      </c>
      <c r="BA22" s="61">
        <v>-49</v>
      </c>
      <c r="BB22" s="61">
        <v>-85</v>
      </c>
      <c r="BC22" s="61">
        <v>-69</v>
      </c>
      <c r="BD22" s="61">
        <v>-41</v>
      </c>
      <c r="BE22" s="61">
        <v>-39</v>
      </c>
      <c r="BF22" s="61">
        <v>-20</v>
      </c>
      <c r="BG22" s="102">
        <v>-44</v>
      </c>
      <c r="BH22" s="61">
        <v>-24</v>
      </c>
      <c r="BI22" s="61">
        <v>-11</v>
      </c>
      <c r="BJ22" s="61">
        <v>-17</v>
      </c>
      <c r="BK22" s="61">
        <v>-11</v>
      </c>
      <c r="BL22" s="61">
        <v>-17</v>
      </c>
      <c r="BM22" s="61">
        <v>-9</v>
      </c>
      <c r="BN22" s="61">
        <v>-7</v>
      </c>
      <c r="BO22" s="61">
        <v>-11</v>
      </c>
      <c r="BP22" s="61">
        <v>-4</v>
      </c>
      <c r="BQ22" s="61">
        <v>-7</v>
      </c>
      <c r="BR22" s="61">
        <v>-6</v>
      </c>
      <c r="BS22" s="61">
        <v>-8</v>
      </c>
      <c r="BT22" s="61">
        <v>-4</v>
      </c>
      <c r="BU22" s="61">
        <v>-9</v>
      </c>
      <c r="BV22" s="61">
        <v>-7</v>
      </c>
      <c r="BW22" s="61">
        <v>-70</v>
      </c>
      <c r="BX22" s="61">
        <v>-101</v>
      </c>
      <c r="BY22" s="61">
        <v>-61</v>
      </c>
      <c r="BZ22" s="61">
        <v>-94</v>
      </c>
      <c r="CA22" s="61">
        <v>-41</v>
      </c>
      <c r="CB22" s="61">
        <v>-28</v>
      </c>
      <c r="CE22" s="102">
        <f t="shared" ref="CE22:CN24" si="23">SUMIF($B$1:$CC$1,"&lt;="&amp;VALUE(RIGHT(CE$2,2)&amp;IF(LEFT(CE$2,2)="1S",2,IF(LEFT(CE$2,2)="9M",3,4))),$B22:$CC22)-
SUMIF($B$1:$CC$1,"&lt;"&amp;VALUE(RIGHT(CE$2,2))&amp;"0",$B22:$CC22)</f>
        <v>0</v>
      </c>
      <c r="CF22" s="102">
        <f t="shared" si="23"/>
        <v>0</v>
      </c>
      <c r="CG22" s="102">
        <f t="shared" si="23"/>
        <v>0</v>
      </c>
      <c r="CH22" s="102">
        <f t="shared" si="23"/>
        <v>0</v>
      </c>
      <c r="CI22" s="102">
        <f t="shared" si="23"/>
        <v>0</v>
      </c>
      <c r="CJ22" s="102">
        <f t="shared" si="23"/>
        <v>0</v>
      </c>
      <c r="CK22" s="102">
        <f t="shared" si="23"/>
        <v>0</v>
      </c>
      <c r="CL22" s="102">
        <f t="shared" si="23"/>
        <v>0</v>
      </c>
      <c r="CM22" s="102">
        <f t="shared" si="23"/>
        <v>0</v>
      </c>
      <c r="CN22" s="102">
        <f t="shared" si="23"/>
        <v>0</v>
      </c>
      <c r="CO22" s="102">
        <f t="shared" ref="CO22:CX24" si="24">SUMIF($B$1:$CC$1,"&lt;="&amp;VALUE(RIGHT(CO$2,2)&amp;IF(LEFT(CO$2,2)="1S",2,IF(LEFT(CO$2,2)="9M",3,4))),$B22:$CC22)-
SUMIF($B$1:$CC$1,"&lt;"&amp;VALUE(RIGHT(CO$2,2))&amp;"0",$B22:$CC22)</f>
        <v>0</v>
      </c>
      <c r="CP22" s="102">
        <f t="shared" si="24"/>
        <v>0</v>
      </c>
      <c r="CQ22" s="102">
        <f t="shared" si="24"/>
        <v>0</v>
      </c>
      <c r="CR22" s="102">
        <f t="shared" si="24"/>
        <v>0</v>
      </c>
      <c r="CS22" s="102">
        <f t="shared" si="24"/>
        <v>0</v>
      </c>
      <c r="CT22" s="102">
        <f t="shared" si="24"/>
        <v>0</v>
      </c>
      <c r="CU22" s="102">
        <f t="shared" si="24"/>
        <v>0</v>
      </c>
      <c r="CV22" s="102">
        <f t="shared" si="24"/>
        <v>0</v>
      </c>
      <c r="CW22" s="102">
        <f t="shared" si="24"/>
        <v>-965</v>
      </c>
      <c r="CX22" s="102">
        <f t="shared" si="24"/>
        <v>-1411</v>
      </c>
      <c r="CY22" s="102">
        <f t="shared" ref="CY22:DH24" si="25">SUMIF($B$1:$CC$1,"&lt;="&amp;VALUE(RIGHT(CY$2,2)&amp;IF(LEFT(CY$2,2)="1S",2,IF(LEFT(CY$2,2)="9M",3,4))),$B22:$CC22)-
SUMIF($B$1:$CC$1,"&lt;"&amp;VALUE(RIGHT(CY$2,2))&amp;"0",$B22:$CC22)</f>
        <v>-1859</v>
      </c>
      <c r="CZ22" s="102">
        <f t="shared" si="25"/>
        <v>-883</v>
      </c>
      <c r="DA22" s="102">
        <f t="shared" si="25"/>
        <v>-1345</v>
      </c>
      <c r="DB22" s="102">
        <f t="shared" si="25"/>
        <v>-1979</v>
      </c>
      <c r="DC22" s="102">
        <f t="shared" si="25"/>
        <v>-1205</v>
      </c>
      <c r="DD22" s="102">
        <f t="shared" si="25"/>
        <v>-1731</v>
      </c>
      <c r="DE22" s="102">
        <f t="shared" si="25"/>
        <v>-2283</v>
      </c>
      <c r="DF22" s="102">
        <f t="shared" si="25"/>
        <v>-949</v>
      </c>
      <c r="DG22" s="102">
        <f t="shared" si="25"/>
        <v>-1580</v>
      </c>
      <c r="DH22" s="102">
        <f t="shared" si="25"/>
        <v>-1961</v>
      </c>
      <c r="DI22" s="102">
        <f t="shared" ref="DI22:DR24" si="26">SUMIF($B$1:$CC$1,"&lt;="&amp;VALUE(RIGHT(DI$2,2)&amp;IF(LEFT(DI$2,2)="1S",2,IF(LEFT(DI$2,2)="9M",3,4))),$B22:$CC22)-
SUMIF($B$1:$CC$1,"&lt;"&amp;VALUE(RIGHT(DI$2,2))&amp;"0",$B22:$CC22)</f>
        <v>-838</v>
      </c>
      <c r="DJ22" s="102">
        <f t="shared" si="26"/>
        <v>-1232</v>
      </c>
      <c r="DK22" s="102">
        <f t="shared" si="26"/>
        <v>-1479</v>
      </c>
      <c r="DL22" s="102">
        <f t="shared" si="26"/>
        <v>-419</v>
      </c>
      <c r="DM22" s="102">
        <f t="shared" si="26"/>
        <v>-590</v>
      </c>
      <c r="DN22" s="102">
        <f t="shared" si="26"/>
        <v>-668</v>
      </c>
      <c r="DO22" s="102">
        <f t="shared" si="26"/>
        <v>-134</v>
      </c>
      <c r="DP22" s="102">
        <f t="shared" si="26"/>
        <v>-203</v>
      </c>
      <c r="DQ22" s="102">
        <f t="shared" si="26"/>
        <v>-244</v>
      </c>
      <c r="DR22" s="102">
        <f t="shared" si="26"/>
        <v>-59</v>
      </c>
      <c r="DS22" s="102">
        <f t="shared" ref="DS22:EB24" si="27">SUMIF($B$1:$CC$1,"&lt;="&amp;VALUE(RIGHT(DS$2,2)&amp;IF(LEFT(DS$2,2)="1S",2,IF(LEFT(DS$2,2)="9M",3,4))),$B22:$CC22)-
SUMIF($B$1:$CC$1,"&lt;"&amp;VALUE(RIGHT(DS$2,2))&amp;"0",$B22:$CC22)</f>
        <v>-103</v>
      </c>
      <c r="DT22" s="102">
        <f t="shared" si="27"/>
        <v>-127</v>
      </c>
      <c r="DU22" s="102">
        <f t="shared" si="27"/>
        <v>-28</v>
      </c>
      <c r="DV22" s="102">
        <f t="shared" si="27"/>
        <v>-39</v>
      </c>
      <c r="DW22" s="102">
        <f t="shared" si="27"/>
        <v>-56</v>
      </c>
      <c r="DX22" s="102">
        <f t="shared" si="27"/>
        <v>-16</v>
      </c>
      <c r="DY22" s="102">
        <f t="shared" si="27"/>
        <v>-27</v>
      </c>
      <c r="DZ22" s="102">
        <f t="shared" si="27"/>
        <v>-31</v>
      </c>
      <c r="EA22" s="102">
        <f t="shared" si="27"/>
        <v>-13</v>
      </c>
      <c r="EB22" s="102">
        <f t="shared" si="27"/>
        <v>-21</v>
      </c>
      <c r="EC22" s="102">
        <f t="shared" ref="EC22:EI24" si="28">SUMIF($B$1:$CC$1,"&lt;="&amp;VALUE(RIGHT(EC$2,2)&amp;IF(LEFT(EC$2,2)="1S",2,IF(LEFT(EC$2,2)="9M",3,4))),$B22:$CC22)-
SUMIF($B$1:$CC$1,"&lt;"&amp;VALUE(RIGHT(EC$2,2))&amp;"0",$B22:$CC22)</f>
        <v>-25</v>
      </c>
      <c r="ED22" s="102">
        <f t="shared" si="28"/>
        <v>-16</v>
      </c>
      <c r="EE22" s="102">
        <f t="shared" si="28"/>
        <v>-86</v>
      </c>
      <c r="EF22" s="102">
        <f t="shared" si="28"/>
        <v>-187</v>
      </c>
      <c r="EG22" s="102">
        <f t="shared" si="28"/>
        <v>-155</v>
      </c>
      <c r="EH22" s="102">
        <f t="shared" si="28"/>
        <v>-196</v>
      </c>
      <c r="EI22" s="102">
        <f t="shared" si="28"/>
        <v>-224</v>
      </c>
    </row>
    <row r="23" spans="1:139" x14ac:dyDescent="0.3">
      <c r="B23" s="63" t="s">
        <v>352</v>
      </c>
      <c r="C23" s="133" t="s">
        <v>519</v>
      </c>
      <c r="D23" s="133" t="str">
        <f>IF(Menu!$D$12="PT",B23,C23)</f>
        <v>Distratos (R$ mil) - 100%</v>
      </c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>
        <v>-25047.92124</v>
      </c>
      <c r="R23" s="61">
        <v>-49982.079539999999</v>
      </c>
      <c r="S23" s="61">
        <v>-51383.030329999994</v>
      </c>
      <c r="T23" s="61">
        <v>-53276.895269999994</v>
      </c>
      <c r="U23" s="61">
        <v>-63482</v>
      </c>
      <c r="V23" s="61">
        <v>-82934</v>
      </c>
      <c r="W23" s="61">
        <v>-94656</v>
      </c>
      <c r="X23" s="61">
        <v>-97868</v>
      </c>
      <c r="Y23" s="61">
        <v>-92711</v>
      </c>
      <c r="Z23" s="61">
        <v>-103817</v>
      </c>
      <c r="AA23" s="61">
        <v>-86701</v>
      </c>
      <c r="AB23" s="61">
        <v>-98383</v>
      </c>
      <c r="AC23" s="61">
        <v>-138259.47764</v>
      </c>
      <c r="AD23" s="61">
        <v>-161542.22883000001</v>
      </c>
      <c r="AE23" s="61">
        <v>-160760.83884000001</v>
      </c>
      <c r="AF23" s="61">
        <v>-141577.06977</v>
      </c>
      <c r="AG23" s="61">
        <v>-122045.34905</v>
      </c>
      <c r="AH23" s="61">
        <v>-138433.394582554</v>
      </c>
      <c r="AI23" s="61">
        <v>-134663.85631318446</v>
      </c>
      <c r="AJ23" s="61">
        <v>-212760.781513878</v>
      </c>
      <c r="AK23" s="61">
        <v>-171901.10198654799</v>
      </c>
      <c r="AL23" s="61">
        <v>-206671.80326012199</v>
      </c>
      <c r="AM23" s="61">
        <v>-204189.44308717601</v>
      </c>
      <c r="AN23" s="61">
        <v>-246591.88219791526</v>
      </c>
      <c r="AO23" s="61">
        <v>-200603.986083909</v>
      </c>
      <c r="AP23" s="61">
        <v>-215002.36700146348</v>
      </c>
      <c r="AQ23" s="61">
        <v>-220117.263201811</v>
      </c>
      <c r="AR23" s="61">
        <v>-172737.69135000001</v>
      </c>
      <c r="AS23" s="61">
        <v>-110501.52370000001</v>
      </c>
      <c r="AT23" s="102">
        <v>-200728.09069000001</v>
      </c>
      <c r="AU23" s="61">
        <v>-161080.63534999988</v>
      </c>
      <c r="AV23" s="61">
        <v>-83288.048740000158</v>
      </c>
      <c r="AW23" s="61">
        <v>-88620.433379999929</v>
      </c>
      <c r="AX23" s="61">
        <v>-72167.009099999996</v>
      </c>
      <c r="AY23" s="61">
        <v>-83015.969680000009</v>
      </c>
      <c r="AZ23" s="61">
        <v>-32000.136550000003</v>
      </c>
      <c r="BA23" s="61">
        <v>-15020.022510000004</v>
      </c>
      <c r="BB23" s="61">
        <v>-23852.07174000001</v>
      </c>
      <c r="BC23" s="61">
        <v>-27973.257449999997</v>
      </c>
      <c r="BD23" s="61">
        <v>-14869.948519999996</v>
      </c>
      <c r="BE23" s="61">
        <v>-12322.124660000003</v>
      </c>
      <c r="BF23" s="61">
        <v>-6200.1670600000016</v>
      </c>
      <c r="BG23" s="102">
        <v>-14530.672509999995</v>
      </c>
      <c r="BH23" s="61">
        <v>-13667.256009999999</v>
      </c>
      <c r="BI23" s="61">
        <v>-2677.3298700000009</v>
      </c>
      <c r="BJ23" s="61">
        <v>-5937.1259</v>
      </c>
      <c r="BK23" s="61">
        <v>-3459.28683</v>
      </c>
      <c r="BL23" s="61">
        <v>-6137.0339800000002</v>
      </c>
      <c r="BM23" s="61">
        <v>-6209.1143300000003</v>
      </c>
      <c r="BN23" s="61">
        <v>-2738.7613500000002</v>
      </c>
      <c r="BO23" s="61">
        <v>-7286.7755199999992</v>
      </c>
      <c r="BP23" s="61">
        <v>-1175.2510599999998</v>
      </c>
      <c r="BQ23" s="61">
        <v>-8693.8853500000005</v>
      </c>
      <c r="BR23" s="61">
        <v>-5872.7708300000004</v>
      </c>
      <c r="BS23" s="61">
        <v>-9320.4698700000008</v>
      </c>
      <c r="BT23" s="61">
        <v>-4708.4837200000011</v>
      </c>
      <c r="BU23" s="61">
        <v>-11015.574000000001</v>
      </c>
      <c r="BV23" s="61">
        <v>-12485.572</v>
      </c>
      <c r="BW23" s="61">
        <v>-81389.037360000002</v>
      </c>
      <c r="BX23" s="61">
        <v>-25667.678229999998</v>
      </c>
      <c r="BY23" s="61">
        <v>-32507.915099999998</v>
      </c>
      <c r="BZ23" s="61">
        <v>-45822.194749999995</v>
      </c>
      <c r="CA23" s="61">
        <v>-19971.638750000002</v>
      </c>
      <c r="CB23" s="61">
        <v>-16003.154559999999</v>
      </c>
      <c r="CE23" s="102">
        <f t="shared" si="23"/>
        <v>0</v>
      </c>
      <c r="CF23" s="102">
        <f t="shared" si="23"/>
        <v>0</v>
      </c>
      <c r="CG23" s="102">
        <f t="shared" si="23"/>
        <v>0</v>
      </c>
      <c r="CH23" s="102">
        <f t="shared" si="23"/>
        <v>0</v>
      </c>
      <c r="CI23" s="102">
        <f t="shared" si="23"/>
        <v>0</v>
      </c>
      <c r="CJ23" s="102">
        <f t="shared" si="23"/>
        <v>0</v>
      </c>
      <c r="CK23" s="102">
        <f t="shared" si="23"/>
        <v>0</v>
      </c>
      <c r="CL23" s="102">
        <f t="shared" si="23"/>
        <v>0</v>
      </c>
      <c r="CM23" s="102">
        <f t="shared" si="23"/>
        <v>0</v>
      </c>
      <c r="CN23" s="102">
        <f t="shared" si="23"/>
        <v>-75030.000780000002</v>
      </c>
      <c r="CO23" s="102">
        <f t="shared" si="24"/>
        <v>-126413.03111</v>
      </c>
      <c r="CP23" s="102">
        <f t="shared" si="24"/>
        <v>-179689.92637999999</v>
      </c>
      <c r="CQ23" s="102">
        <f t="shared" si="24"/>
        <v>-146415.99999999997</v>
      </c>
      <c r="CR23" s="102">
        <f t="shared" si="24"/>
        <v>-241071.99999999997</v>
      </c>
      <c r="CS23" s="102">
        <f t="shared" si="24"/>
        <v>-338940</v>
      </c>
      <c r="CT23" s="102">
        <f t="shared" si="24"/>
        <v>-196528</v>
      </c>
      <c r="CU23" s="102">
        <f t="shared" si="24"/>
        <v>-283229</v>
      </c>
      <c r="CV23" s="102">
        <f t="shared" si="24"/>
        <v>-381612</v>
      </c>
      <c r="CW23" s="102">
        <f t="shared" si="24"/>
        <v>-299801.70646999998</v>
      </c>
      <c r="CX23" s="102">
        <f t="shared" si="24"/>
        <v>-460562.54531000007</v>
      </c>
      <c r="CY23" s="102">
        <f t="shared" si="25"/>
        <v>-602139.61508000002</v>
      </c>
      <c r="CZ23" s="102">
        <f t="shared" si="25"/>
        <v>-260478.74363255408</v>
      </c>
      <c r="DA23" s="102">
        <f t="shared" si="25"/>
        <v>-395142.59994573845</v>
      </c>
      <c r="DB23" s="102">
        <f t="shared" si="25"/>
        <v>-607903.38145961659</v>
      </c>
      <c r="DC23" s="102">
        <f t="shared" si="25"/>
        <v>-378572.90524666989</v>
      </c>
      <c r="DD23" s="102">
        <f t="shared" si="25"/>
        <v>-582762.34833384585</v>
      </c>
      <c r="DE23" s="102">
        <f t="shared" si="25"/>
        <v>-829354.23053176096</v>
      </c>
      <c r="DF23" s="102">
        <f t="shared" si="25"/>
        <v>-415606.3530853726</v>
      </c>
      <c r="DG23" s="102">
        <f t="shared" si="25"/>
        <v>-635723.61628718348</v>
      </c>
      <c r="DH23" s="102">
        <f t="shared" si="25"/>
        <v>-808461.30763718346</v>
      </c>
      <c r="DI23" s="102">
        <f t="shared" si="26"/>
        <v>-311229.61438999977</v>
      </c>
      <c r="DJ23" s="102">
        <f t="shared" si="26"/>
        <v>-472310.24973999942</v>
      </c>
      <c r="DK23" s="102">
        <f t="shared" si="26"/>
        <v>-555598.29847999988</v>
      </c>
      <c r="DL23" s="102">
        <f t="shared" si="26"/>
        <v>-160787.44248000067</v>
      </c>
      <c r="DM23" s="102">
        <f t="shared" si="26"/>
        <v>-243803.41216000076</v>
      </c>
      <c r="DN23" s="102">
        <f t="shared" si="26"/>
        <v>-275803.5487100007</v>
      </c>
      <c r="DO23" s="102">
        <f t="shared" si="26"/>
        <v>-38872.094249999151</v>
      </c>
      <c r="DP23" s="102">
        <f t="shared" si="26"/>
        <v>-66845.351699999534</v>
      </c>
      <c r="DQ23" s="102">
        <f t="shared" si="26"/>
        <v>-81715.300219999626</v>
      </c>
      <c r="DR23" s="102">
        <f t="shared" si="26"/>
        <v>-18522.291720000096</v>
      </c>
      <c r="DS23" s="102">
        <f t="shared" si="27"/>
        <v>-33052.964230000041</v>
      </c>
      <c r="DT23" s="102">
        <f t="shared" si="27"/>
        <v>-46720.220239999704</v>
      </c>
      <c r="DU23" s="102">
        <f t="shared" si="27"/>
        <v>-8614.4557699998841</v>
      </c>
      <c r="DV23" s="102">
        <f t="shared" si="27"/>
        <v>-12073.742599999532</v>
      </c>
      <c r="DW23" s="102">
        <f t="shared" si="27"/>
        <v>-18210.776579999365</v>
      </c>
      <c r="DX23" s="102">
        <f t="shared" si="27"/>
        <v>-8947.8756800005212</v>
      </c>
      <c r="DY23" s="102">
        <f t="shared" si="27"/>
        <v>-16234.651200000197</v>
      </c>
      <c r="DZ23" s="102">
        <f t="shared" si="27"/>
        <v>-17409.902259999886</v>
      </c>
      <c r="EA23" s="102">
        <f t="shared" si="27"/>
        <v>-14566.656179999933</v>
      </c>
      <c r="EB23" s="102">
        <f t="shared" si="27"/>
        <v>-23887.126050000079</v>
      </c>
      <c r="EC23" s="102">
        <f t="shared" si="28"/>
        <v>-28595.609769999981</v>
      </c>
      <c r="ED23" s="102">
        <f t="shared" si="28"/>
        <v>-23501.145999999717</v>
      </c>
      <c r="EE23" s="102">
        <f t="shared" si="28"/>
        <v>-104890.18336000014</v>
      </c>
      <c r="EF23" s="102">
        <f t="shared" si="28"/>
        <v>-130557.86158999987</v>
      </c>
      <c r="EG23" s="102">
        <f t="shared" si="28"/>
        <v>-78330.109849999659</v>
      </c>
      <c r="EH23" s="102">
        <f t="shared" si="28"/>
        <v>-98301.748599999584</v>
      </c>
      <c r="EI23" s="102">
        <f t="shared" si="28"/>
        <v>-114304.90315999929</v>
      </c>
    </row>
    <row r="24" spans="1:139" x14ac:dyDescent="0.3">
      <c r="B24" s="63" t="s">
        <v>351</v>
      </c>
      <c r="C24" s="133" t="s">
        <v>520</v>
      </c>
      <c r="D24" s="133" t="str">
        <f>IF(Menu!$D$12="PT",B24,C24)</f>
        <v>Distratos (R$ mil) - % TECNISA</v>
      </c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>
        <v>-16832.504269449997</v>
      </c>
      <c r="R24" s="61">
        <v>-37450.337771850005</v>
      </c>
      <c r="S24" s="61">
        <v>-39499.766552150009</v>
      </c>
      <c r="T24" s="61">
        <v>-41599.104894700002</v>
      </c>
      <c r="U24" s="61">
        <v>-53005.806871599991</v>
      </c>
      <c r="V24" s="61">
        <v>-69401.69985004999</v>
      </c>
      <c r="W24" s="61">
        <v>-79739.934999999998</v>
      </c>
      <c r="X24" s="61">
        <v>-82816.903355350005</v>
      </c>
      <c r="Y24" s="61">
        <v>-74014.945824305018</v>
      </c>
      <c r="Z24" s="61">
        <v>-79909.724413247997</v>
      </c>
      <c r="AA24" s="61">
        <v>-76033.77213640399</v>
      </c>
      <c r="AB24" s="61">
        <v>-82195.526810354</v>
      </c>
      <c r="AC24" s="61">
        <v>-120832.038439158</v>
      </c>
      <c r="AD24" s="61">
        <v>-131951.93370595199</v>
      </c>
      <c r="AE24" s="61">
        <v>-130922.523700345</v>
      </c>
      <c r="AF24" s="61">
        <v>-115829.1084104</v>
      </c>
      <c r="AG24" s="61">
        <v>-106606.279175544</v>
      </c>
      <c r="AH24" s="61">
        <v>-110545.766253758</v>
      </c>
      <c r="AI24" s="61">
        <v>-117007.6541052035</v>
      </c>
      <c r="AJ24" s="61">
        <v>-178634.45769053299</v>
      </c>
      <c r="AK24" s="61">
        <v>-145730.79052931</v>
      </c>
      <c r="AL24" s="61">
        <v>-175010.61426787401</v>
      </c>
      <c r="AM24" s="61">
        <v>-171220.29051311099</v>
      </c>
      <c r="AN24" s="61">
        <v>-193749.72949014595</v>
      </c>
      <c r="AO24" s="61">
        <v>-136271.696880537</v>
      </c>
      <c r="AP24" s="61">
        <v>-152232.53986126988</v>
      </c>
      <c r="AQ24" s="61">
        <v>-167025.601960214</v>
      </c>
      <c r="AR24" s="61">
        <v>-129795.1818605</v>
      </c>
      <c r="AS24" s="61">
        <v>-83490.262313250001</v>
      </c>
      <c r="AT24" s="102">
        <v>-155156.30433554805</v>
      </c>
      <c r="AU24" s="61">
        <v>-114516.21210325004</v>
      </c>
      <c r="AV24" s="61">
        <v>-63609.665323300032</v>
      </c>
      <c r="AW24" s="61">
        <v>-65555.658877964961</v>
      </c>
      <c r="AX24" s="61">
        <v>-51390.098057750009</v>
      </c>
      <c r="AY24" s="61">
        <v>-68249.688190638</v>
      </c>
      <c r="AZ24" s="61">
        <v>-23637.716098711</v>
      </c>
      <c r="BA24" s="61">
        <v>-12429.862421407004</v>
      </c>
      <c r="BB24" s="61">
        <v>-20320.322010617008</v>
      </c>
      <c r="BC24" s="61">
        <v>-21321.023922</v>
      </c>
      <c r="BD24" s="61">
        <v>-10979.763764553998</v>
      </c>
      <c r="BE24" s="61">
        <v>-9383.3875431480028</v>
      </c>
      <c r="BF24" s="61">
        <v>-3609.2177106950007</v>
      </c>
      <c r="BG24" s="102">
        <v>-10007.554791879002</v>
      </c>
      <c r="BH24" s="61">
        <v>-10338.318406</v>
      </c>
      <c r="BI24" s="61">
        <v>-1717.1655702240012</v>
      </c>
      <c r="BJ24" s="61">
        <v>-5453.3921780000001</v>
      </c>
      <c r="BK24" s="61">
        <v>-2974.5822840000001</v>
      </c>
      <c r="BL24" s="61">
        <v>-4983.0083217199999</v>
      </c>
      <c r="BM24" s="61">
        <v>-4358.2060899999997</v>
      </c>
      <c r="BN24" s="61">
        <v>-2441.6014139999997</v>
      </c>
      <c r="BO24" s="61">
        <v>-6828.6089945000003</v>
      </c>
      <c r="BP24" s="61">
        <v>-962.22452199999987</v>
      </c>
      <c r="BQ24" s="61">
        <v>-6831.4027640000004</v>
      </c>
      <c r="BR24" s="61">
        <v>-4536.3271507500003</v>
      </c>
      <c r="BS24" s="61">
        <v>-8449.2242402500015</v>
      </c>
      <c r="BT24" s="61">
        <v>-3674.4510129999994</v>
      </c>
      <c r="BU24" s="61">
        <v>-8520.2654059999986</v>
      </c>
      <c r="BV24" s="61">
        <v>-11835.305550000001</v>
      </c>
      <c r="BW24" s="61">
        <v>-73577.792037550011</v>
      </c>
      <c r="BX24" s="61">
        <v>-5432.3415211500005</v>
      </c>
      <c r="BY24" s="61">
        <v>-16805.878567810003</v>
      </c>
      <c r="BZ24" s="61">
        <v>-21802.711195549997</v>
      </c>
      <c r="CA24" s="61">
        <v>-10606.964201855002</v>
      </c>
      <c r="CB24" s="61">
        <v>-7613.7997495299996</v>
      </c>
      <c r="CE24" s="102">
        <f t="shared" si="23"/>
        <v>0</v>
      </c>
      <c r="CF24" s="102">
        <f t="shared" si="23"/>
        <v>0</v>
      </c>
      <c r="CG24" s="102">
        <f t="shared" si="23"/>
        <v>0</v>
      </c>
      <c r="CH24" s="102">
        <f t="shared" si="23"/>
        <v>0</v>
      </c>
      <c r="CI24" s="102">
        <f t="shared" si="23"/>
        <v>0</v>
      </c>
      <c r="CJ24" s="102">
        <f t="shared" si="23"/>
        <v>0</v>
      </c>
      <c r="CK24" s="102">
        <f t="shared" si="23"/>
        <v>0</v>
      </c>
      <c r="CL24" s="102">
        <f t="shared" si="23"/>
        <v>0</v>
      </c>
      <c r="CM24" s="102">
        <f t="shared" si="23"/>
        <v>0</v>
      </c>
      <c r="CN24" s="102">
        <f t="shared" si="23"/>
        <v>-54282.842041299999</v>
      </c>
      <c r="CO24" s="102">
        <f t="shared" si="24"/>
        <v>-93782.608593450015</v>
      </c>
      <c r="CP24" s="102">
        <f t="shared" si="24"/>
        <v>-135381.71348815001</v>
      </c>
      <c r="CQ24" s="102">
        <f t="shared" si="24"/>
        <v>-122407.50672164999</v>
      </c>
      <c r="CR24" s="102">
        <f t="shared" si="24"/>
        <v>-202147.44172164999</v>
      </c>
      <c r="CS24" s="102">
        <f t="shared" si="24"/>
        <v>-284964.34507699998</v>
      </c>
      <c r="CT24" s="102">
        <f t="shared" si="24"/>
        <v>-153924.67023755296</v>
      </c>
      <c r="CU24" s="102">
        <f t="shared" si="24"/>
        <v>-229958.4423739569</v>
      </c>
      <c r="CV24" s="102">
        <f t="shared" si="24"/>
        <v>-312153.96918431087</v>
      </c>
      <c r="CW24" s="102">
        <f t="shared" si="24"/>
        <v>-252783.97214511002</v>
      </c>
      <c r="CX24" s="102">
        <f t="shared" si="24"/>
        <v>-383706.49584545498</v>
      </c>
      <c r="CY24" s="102">
        <f t="shared" si="25"/>
        <v>-499535.60425585508</v>
      </c>
      <c r="CZ24" s="102">
        <f t="shared" si="25"/>
        <v>-217152.04542930191</v>
      </c>
      <c r="DA24" s="102">
        <f t="shared" si="25"/>
        <v>-334159.69953450537</v>
      </c>
      <c r="DB24" s="102">
        <f t="shared" si="25"/>
        <v>-512794.15722503839</v>
      </c>
      <c r="DC24" s="102">
        <f t="shared" si="25"/>
        <v>-320741.40479718405</v>
      </c>
      <c r="DD24" s="102">
        <f t="shared" si="25"/>
        <v>-491961.69531029486</v>
      </c>
      <c r="DE24" s="102">
        <f t="shared" si="25"/>
        <v>-685711.4248004409</v>
      </c>
      <c r="DF24" s="102">
        <f t="shared" si="25"/>
        <v>-288504.23674180685</v>
      </c>
      <c r="DG24" s="102">
        <f t="shared" si="25"/>
        <v>-455529.8387020207</v>
      </c>
      <c r="DH24" s="102">
        <f t="shared" si="25"/>
        <v>-585325.02056252072</v>
      </c>
      <c r="DI24" s="102">
        <f t="shared" si="26"/>
        <v>-238646.56664879806</v>
      </c>
      <c r="DJ24" s="102">
        <f t="shared" si="26"/>
        <v>-353162.77875204803</v>
      </c>
      <c r="DK24" s="102">
        <f t="shared" si="26"/>
        <v>-416772.44407534786</v>
      </c>
      <c r="DL24" s="102">
        <f t="shared" si="26"/>
        <v>-116945.75693571521</v>
      </c>
      <c r="DM24" s="102">
        <f t="shared" si="26"/>
        <v>-185195.4451263533</v>
      </c>
      <c r="DN24" s="102">
        <f t="shared" si="26"/>
        <v>-208833.16122506419</v>
      </c>
      <c r="DO24" s="102">
        <f t="shared" si="26"/>
        <v>-32750.184432024136</v>
      </c>
      <c r="DP24" s="102">
        <f t="shared" si="26"/>
        <v>-54071.208354024217</v>
      </c>
      <c r="DQ24" s="102">
        <f t="shared" si="26"/>
        <v>-65050.972118578386</v>
      </c>
      <c r="DR24" s="102">
        <f t="shared" si="26"/>
        <v>-12992.605253843125</v>
      </c>
      <c r="DS24" s="102">
        <f t="shared" si="27"/>
        <v>-23000.160045722034</v>
      </c>
      <c r="DT24" s="102">
        <f t="shared" si="27"/>
        <v>-33338.478451721836</v>
      </c>
      <c r="DU24" s="102">
        <f t="shared" si="27"/>
        <v>-7170.5577482241206</v>
      </c>
      <c r="DV24" s="102">
        <f t="shared" si="27"/>
        <v>-10145.140032223891</v>
      </c>
      <c r="DW24" s="102">
        <f t="shared" si="27"/>
        <v>-15128.148353944067</v>
      </c>
      <c r="DX24" s="102">
        <f t="shared" si="27"/>
        <v>-6799.8075040001422</v>
      </c>
      <c r="DY24" s="102">
        <f t="shared" si="27"/>
        <v>-13628.416498499922</v>
      </c>
      <c r="DZ24" s="102">
        <f t="shared" si="27"/>
        <v>-14590.641020500101</v>
      </c>
      <c r="EA24" s="102">
        <f t="shared" si="27"/>
        <v>-11367.729914749973</v>
      </c>
      <c r="EB24" s="102">
        <f t="shared" si="27"/>
        <v>-19816.954154999927</v>
      </c>
      <c r="EC24" s="102">
        <f t="shared" si="28"/>
        <v>-23491.405168000143</v>
      </c>
      <c r="ED24" s="102">
        <f t="shared" si="28"/>
        <v>-20355.570956000127</v>
      </c>
      <c r="EE24" s="102">
        <f t="shared" si="28"/>
        <v>-93933.362993550021</v>
      </c>
      <c r="EF24" s="102">
        <f t="shared" si="28"/>
        <v>-99365.704514699988</v>
      </c>
      <c r="EG24" s="102">
        <f t="shared" si="28"/>
        <v>-38608.589763360098</v>
      </c>
      <c r="EH24" s="102">
        <f t="shared" si="28"/>
        <v>-49215.553965215106</v>
      </c>
      <c r="EI24" s="102">
        <f t="shared" si="28"/>
        <v>-56829.353714745026</v>
      </c>
    </row>
    <row r="25" spans="1:139" x14ac:dyDescent="0.3">
      <c r="AF25" s="72"/>
      <c r="AG25" s="74"/>
      <c r="AH25" s="78"/>
      <c r="AI25" s="72"/>
      <c r="AJ25" s="72"/>
      <c r="AK25" s="96"/>
      <c r="AL25" s="96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</row>
    <row r="26" spans="1:139" x14ac:dyDescent="0.3">
      <c r="B26" s="63" t="s">
        <v>350</v>
      </c>
      <c r="C26" s="133" t="s">
        <v>521</v>
      </c>
      <c r="D26" s="133" t="str">
        <f>IF(Menu!$D$12="PT",B26,C26)</f>
        <v>Vendas Brutas (R$ mil) - 100%</v>
      </c>
      <c r="E26" s="61">
        <v>44552.609780000006</v>
      </c>
      <c r="F26" s="61">
        <v>61641.775240000003</v>
      </c>
      <c r="G26" s="61">
        <v>165662.49287999998</v>
      </c>
      <c r="H26" s="61">
        <v>330453.62258000002</v>
      </c>
      <c r="I26" s="61">
        <v>217701.00997000004</v>
      </c>
      <c r="J26" s="61">
        <v>389630.27141000004</v>
      </c>
      <c r="K26" s="61">
        <v>312149.31815000001</v>
      </c>
      <c r="L26" s="61">
        <v>302283.82200562727</v>
      </c>
      <c r="M26" s="61">
        <v>253095.46917000005</v>
      </c>
      <c r="N26" s="61">
        <v>337397.75278999994</v>
      </c>
      <c r="O26" s="61">
        <v>248026.82577000002</v>
      </c>
      <c r="P26" s="61">
        <v>148107.32189999998</v>
      </c>
      <c r="Q26" s="61">
        <v>223729.72200000001</v>
      </c>
      <c r="R26" s="61">
        <v>324578.66500000004</v>
      </c>
      <c r="S26" s="61">
        <v>467056.73099999997</v>
      </c>
      <c r="T26" s="61">
        <v>1035757.4939999999</v>
      </c>
      <c r="U26" s="61">
        <v>687912.75657000009</v>
      </c>
      <c r="V26" s="61">
        <v>723246.18281999999</v>
      </c>
      <c r="W26" s="61">
        <v>580087.69099999999</v>
      </c>
      <c r="X26" s="61">
        <v>612434.85074999998</v>
      </c>
      <c r="Y26" s="61">
        <v>447534.61205000005</v>
      </c>
      <c r="Z26" s="61">
        <v>419329.8196478145</v>
      </c>
      <c r="AA26" s="61">
        <v>546480.05780000007</v>
      </c>
      <c r="AB26" s="61">
        <v>376737.24813999992</v>
      </c>
      <c r="AC26" s="61">
        <v>995779.12696615676</v>
      </c>
      <c r="AD26" s="61">
        <v>938616.429</v>
      </c>
      <c r="AE26" s="61">
        <v>580378.91739999992</v>
      </c>
      <c r="AF26" s="61">
        <v>511595.61970999994</v>
      </c>
      <c r="AG26" s="61">
        <v>323815.13438230922</v>
      </c>
      <c r="AH26" s="61">
        <v>410137.86289616639</v>
      </c>
      <c r="AI26" s="61">
        <v>315714.43931318447</v>
      </c>
      <c r="AJ26" s="61">
        <v>387725.51901291899</v>
      </c>
      <c r="AK26" s="61">
        <v>449199.71143227187</v>
      </c>
      <c r="AL26" s="61">
        <v>353071.90584494022</v>
      </c>
      <c r="AM26" s="61">
        <v>361882.73861571029</v>
      </c>
      <c r="AN26" s="61">
        <v>273076.24937109358</v>
      </c>
      <c r="AO26" s="61">
        <v>275778.01055999979</v>
      </c>
      <c r="AP26" s="61">
        <v>251634.24556080138</v>
      </c>
      <c r="AQ26" s="61">
        <v>224276.8257500004</v>
      </c>
      <c r="AR26" s="61">
        <v>441842.57819000003</v>
      </c>
      <c r="AS26" s="61">
        <v>262914.01789999998</v>
      </c>
      <c r="AT26" s="61">
        <v>291918.01731999998</v>
      </c>
      <c r="AU26" s="61">
        <v>250253.99812</v>
      </c>
      <c r="AV26" s="61">
        <v>261515.37844000006</v>
      </c>
      <c r="AW26" s="61">
        <v>221093.73673999996</v>
      </c>
      <c r="AX26" s="61">
        <v>198568.14853000001</v>
      </c>
      <c r="AY26" s="61">
        <v>82564.749940000023</v>
      </c>
      <c r="AZ26" s="61">
        <v>164714.77328000005</v>
      </c>
      <c r="BA26" s="61">
        <v>165369.5583</v>
      </c>
      <c r="BB26" s="61">
        <v>258033.57955000002</v>
      </c>
      <c r="BC26" s="61">
        <v>206302.20958000002</v>
      </c>
      <c r="BD26" s="61">
        <v>308249.9961300001</v>
      </c>
      <c r="BE26" s="61">
        <v>131319.09092000002</v>
      </c>
      <c r="BF26" s="61">
        <v>65913.241019999972</v>
      </c>
      <c r="BG26" s="102">
        <v>140064.28880000001</v>
      </c>
      <c r="BH26" s="61">
        <v>171353.47820000004</v>
      </c>
      <c r="BI26" s="61">
        <v>69414.684410000002</v>
      </c>
      <c r="BJ26" s="61">
        <v>65211.562900000004</v>
      </c>
      <c r="BK26" s="61">
        <v>89637.220809999955</v>
      </c>
      <c r="BL26" s="61">
        <v>114357.47689000002</v>
      </c>
      <c r="BM26" s="61">
        <v>88036.180030000003</v>
      </c>
      <c r="BN26" s="61">
        <v>104296.12523999998</v>
      </c>
      <c r="BO26" s="61">
        <v>154555.03589999999</v>
      </c>
      <c r="BP26" s="61">
        <v>380549.3392099138</v>
      </c>
      <c r="BQ26" s="61">
        <v>153024.20895</v>
      </c>
      <c r="BR26" s="61">
        <v>120889.50314</v>
      </c>
      <c r="BS26" s="61">
        <v>161286.11885999999</v>
      </c>
      <c r="BT26" s="61">
        <v>229273.16830999998</v>
      </c>
      <c r="BU26" s="61">
        <v>249350.58586000002</v>
      </c>
      <c r="BV26" s="61">
        <v>411853.99743000005</v>
      </c>
      <c r="BW26" s="61">
        <v>460856.33282000013</v>
      </c>
      <c r="BX26" s="61">
        <v>331795.28136000002</v>
      </c>
      <c r="BY26" s="61">
        <v>331666.64385999972</v>
      </c>
      <c r="BZ26" s="61">
        <v>180218.66601000002</v>
      </c>
      <c r="CA26" s="61">
        <v>181459.50951000003</v>
      </c>
      <c r="CB26" s="61">
        <v>187809.10174000001</v>
      </c>
      <c r="CE26" s="102">
        <f t="shared" ref="CE26:CN27" si="29">SUMIF($B$1:$CC$1,"&lt;="&amp;VALUE(RIGHT(CE$2,2)&amp;IF(LEFT(CE$2,2)="1S",2,IF(LEFT(CE$2,2)="9M",3,4))),$B26:$CC26)-
SUMIF($B$1:$CC$1,"&lt;"&amp;VALUE(RIGHT(CE$2,2))&amp;"0",$B26:$CC26)</f>
        <v>106194.38502000002</v>
      </c>
      <c r="CF26" s="102">
        <f t="shared" si="29"/>
        <v>271856.87789999996</v>
      </c>
      <c r="CG26" s="102">
        <f t="shared" si="29"/>
        <v>602310.50047999993</v>
      </c>
      <c r="CH26" s="102">
        <f t="shared" si="29"/>
        <v>607331.28138000006</v>
      </c>
      <c r="CI26" s="102">
        <f t="shared" si="29"/>
        <v>919480.59953000001</v>
      </c>
      <c r="CJ26" s="102">
        <f t="shared" si="29"/>
        <v>1221764.4215356272</v>
      </c>
      <c r="CK26" s="102">
        <f t="shared" si="29"/>
        <v>590493.22196</v>
      </c>
      <c r="CL26" s="102">
        <f t="shared" si="29"/>
        <v>838520.04772999999</v>
      </c>
      <c r="CM26" s="102">
        <f t="shared" si="29"/>
        <v>986627.36962999986</v>
      </c>
      <c r="CN26" s="102">
        <f t="shared" si="29"/>
        <v>548308.3870000001</v>
      </c>
      <c r="CO26" s="102">
        <f t="shared" ref="CO26:CX27" si="30">SUMIF($B$1:$CC$1,"&lt;="&amp;VALUE(RIGHT(CO$2,2)&amp;IF(LEFT(CO$2,2)="1S",2,IF(LEFT(CO$2,2)="9M",3,4))),$B26:$CC26)-
SUMIF($B$1:$CC$1,"&lt;"&amp;VALUE(RIGHT(CO$2,2))&amp;"0",$B26:$CC26)</f>
        <v>1015365.1180000002</v>
      </c>
      <c r="CP26" s="102">
        <f t="shared" si="30"/>
        <v>2051122.6120000002</v>
      </c>
      <c r="CQ26" s="102">
        <f t="shared" si="30"/>
        <v>1411158.93939</v>
      </c>
      <c r="CR26" s="102">
        <f t="shared" si="30"/>
        <v>1991246.6303899996</v>
      </c>
      <c r="CS26" s="102">
        <f t="shared" si="30"/>
        <v>2603681.4811399998</v>
      </c>
      <c r="CT26" s="102">
        <f t="shared" si="30"/>
        <v>866864.43169781379</v>
      </c>
      <c r="CU26" s="102">
        <f t="shared" si="30"/>
        <v>1413344.4894978134</v>
      </c>
      <c r="CV26" s="102">
        <f t="shared" si="30"/>
        <v>1790081.7376378132</v>
      </c>
      <c r="CW26" s="102">
        <f t="shared" si="30"/>
        <v>1934395.5559661556</v>
      </c>
      <c r="CX26" s="102">
        <f t="shared" si="30"/>
        <v>2514774.4733661562</v>
      </c>
      <c r="CY26" s="102">
        <f t="shared" ref="CY26:DH27" si="31">SUMIF($B$1:$CC$1,"&lt;="&amp;VALUE(RIGHT(CY$2,2)&amp;IF(LEFT(CY$2,2)="1S",2,IF(LEFT(CY$2,2)="9M",3,4))),$B26:$CC26)-
SUMIF($B$1:$CC$1,"&lt;"&amp;VALUE(RIGHT(CY$2,2))&amp;"0",$B26:$CC26)</f>
        <v>3026370.0930761565</v>
      </c>
      <c r="CZ26" s="102">
        <f t="shared" si="31"/>
        <v>733952.99727847613</v>
      </c>
      <c r="DA26" s="102">
        <f t="shared" si="31"/>
        <v>1049667.4365916606</v>
      </c>
      <c r="DB26" s="102">
        <f t="shared" si="31"/>
        <v>1437392.9556045793</v>
      </c>
      <c r="DC26" s="102">
        <f t="shared" si="31"/>
        <v>802271.61727721244</v>
      </c>
      <c r="DD26" s="102">
        <f t="shared" si="31"/>
        <v>1164154.3558929227</v>
      </c>
      <c r="DE26" s="102">
        <f t="shared" si="31"/>
        <v>1437230.6052640155</v>
      </c>
      <c r="DF26" s="102">
        <f t="shared" si="31"/>
        <v>527412.25612080097</v>
      </c>
      <c r="DG26" s="102">
        <f t="shared" si="31"/>
        <v>751689.08187080175</v>
      </c>
      <c r="DH26" s="102">
        <f t="shared" si="31"/>
        <v>1193531.6600608025</v>
      </c>
      <c r="DI26" s="102">
        <f t="shared" ref="DI26:DR27" si="32">SUMIF($B$1:$CC$1,"&lt;="&amp;VALUE(RIGHT(DI$2,2)&amp;IF(LEFT(DI$2,2)="1S",2,IF(LEFT(DI$2,2)="9M",3,4))),$B26:$CC26)-
SUMIF($B$1:$CC$1,"&lt;"&amp;VALUE(RIGHT(DI$2,2))&amp;"0",$B26:$CC26)</f>
        <v>554832.03522000089</v>
      </c>
      <c r="DJ26" s="102">
        <f t="shared" si="32"/>
        <v>805086.03333999962</v>
      </c>
      <c r="DK26" s="102">
        <f t="shared" si="32"/>
        <v>1066601.4117799997</v>
      </c>
      <c r="DL26" s="102">
        <f t="shared" si="32"/>
        <v>419661.8852699995</v>
      </c>
      <c r="DM26" s="102">
        <f t="shared" si="32"/>
        <v>502226.63520999998</v>
      </c>
      <c r="DN26" s="102">
        <f t="shared" si="32"/>
        <v>666941.40848999843</v>
      </c>
      <c r="DO26" s="102">
        <f t="shared" si="32"/>
        <v>423403.13785000145</v>
      </c>
      <c r="DP26" s="102">
        <f t="shared" si="32"/>
        <v>629705.34743000194</v>
      </c>
      <c r="DQ26" s="102">
        <f t="shared" si="32"/>
        <v>937955.34356000274</v>
      </c>
      <c r="DR26" s="102">
        <f t="shared" si="32"/>
        <v>197232.33194000274</v>
      </c>
      <c r="DS26" s="102">
        <f t="shared" ref="DS26:EB27" si="33">SUMIF($B$1:$CC$1,"&lt;="&amp;VALUE(RIGHT(DS$2,2)&amp;IF(LEFT(DS$2,2)="1S",2,IF(LEFT(DS$2,2)="9M",3,4))),$B26:$CC26)-
SUMIF($B$1:$CC$1,"&lt;"&amp;VALUE(RIGHT(DS$2,2))&amp;"0",$B26:$CC26)</f>
        <v>337296.62074000388</v>
      </c>
      <c r="DT26" s="102">
        <f t="shared" si="33"/>
        <v>508650.09894000366</v>
      </c>
      <c r="DU26" s="102">
        <f t="shared" si="33"/>
        <v>134626.24730999768</v>
      </c>
      <c r="DV26" s="102">
        <f t="shared" si="33"/>
        <v>224263.46811999753</v>
      </c>
      <c r="DW26" s="102">
        <f t="shared" si="33"/>
        <v>338620.94500999898</v>
      </c>
      <c r="DX26" s="102">
        <f t="shared" si="33"/>
        <v>192332.30527000129</v>
      </c>
      <c r="DY26" s="102">
        <f t="shared" si="33"/>
        <v>346887.34117000178</v>
      </c>
      <c r="DZ26" s="102">
        <f t="shared" si="33"/>
        <v>727436.68037991598</v>
      </c>
      <c r="EA26" s="102">
        <f t="shared" si="33"/>
        <v>273913.71209000051</v>
      </c>
      <c r="EB26" s="102">
        <f t="shared" si="33"/>
        <v>435199.83094999939</v>
      </c>
      <c r="EC26" s="102">
        <f t="shared" ref="EC26:EI27" si="34">SUMIF($B$1:$CC$1,"&lt;="&amp;VALUE(RIGHT(EC$2,2)&amp;IF(LEFT(EC$2,2)="1S",2,IF(LEFT(EC$2,2)="9M",3,4))),$B26:$CC26)-
SUMIF($B$1:$CC$1,"&lt;"&amp;VALUE(RIGHT(EC$2,2))&amp;"0",$B26:$CC26)</f>
        <v>664472.99926000088</v>
      </c>
      <c r="ED26" s="102">
        <f t="shared" si="34"/>
        <v>661204.58328999951</v>
      </c>
      <c r="EE26" s="102">
        <f t="shared" si="34"/>
        <v>1122060.9161099978</v>
      </c>
      <c r="EF26" s="102">
        <f t="shared" si="34"/>
        <v>1453856.1974699982</v>
      </c>
      <c r="EG26" s="102">
        <f t="shared" si="34"/>
        <v>511885.30987000093</v>
      </c>
      <c r="EH26" s="102">
        <f t="shared" si="34"/>
        <v>693344.81938000023</v>
      </c>
      <c r="EI26" s="102">
        <f t="shared" si="34"/>
        <v>881153.92111999914</v>
      </c>
    </row>
    <row r="27" spans="1:139" x14ac:dyDescent="0.3">
      <c r="B27" s="63" t="s">
        <v>349</v>
      </c>
      <c r="C27" s="133" t="s">
        <v>522</v>
      </c>
      <c r="D27" s="133" t="str">
        <f>IF(Menu!$D$12="PT",B27,C27)</f>
        <v>Vendas Brutas (R$ mil) - % TECNISA</v>
      </c>
      <c r="E27" s="61">
        <v>40795.728052999999</v>
      </c>
      <c r="F27" s="61">
        <v>61123.894379999998</v>
      </c>
      <c r="G27" s="61">
        <v>163444.42782000001</v>
      </c>
      <c r="H27" s="61">
        <v>171934.17153600001</v>
      </c>
      <c r="I27" s="61">
        <v>153199.07649915002</v>
      </c>
      <c r="J27" s="61">
        <v>308126.45299010014</v>
      </c>
      <c r="K27" s="61">
        <v>227917.99490335002</v>
      </c>
      <c r="L27" s="61">
        <v>231057.67142822911</v>
      </c>
      <c r="M27" s="61">
        <v>186447.66496199998</v>
      </c>
      <c r="N27" s="61">
        <v>260794.46256309995</v>
      </c>
      <c r="O27" s="61">
        <v>196495.5600728</v>
      </c>
      <c r="P27" s="61">
        <v>105261.06544614998</v>
      </c>
      <c r="Q27" s="61">
        <v>173957.54500000001</v>
      </c>
      <c r="R27" s="61">
        <v>266150.20199999999</v>
      </c>
      <c r="S27" s="61">
        <v>414138.84500000003</v>
      </c>
      <c r="T27" s="61">
        <v>819522.38699999999</v>
      </c>
      <c r="U27" s="61">
        <v>599630.74100000004</v>
      </c>
      <c r="V27" s="61">
        <v>612885.55499999993</v>
      </c>
      <c r="W27" s="61">
        <v>416668.82199999999</v>
      </c>
      <c r="X27" s="61">
        <v>486568.7026664</v>
      </c>
      <c r="Y27" s="61">
        <v>327212.74268806801</v>
      </c>
      <c r="Z27" s="61">
        <v>315650.80395547103</v>
      </c>
      <c r="AA27" s="61">
        <v>449381.81123624602</v>
      </c>
      <c r="AB27" s="61">
        <v>312714.89758100006</v>
      </c>
      <c r="AC27" s="61">
        <v>754452.73367326602</v>
      </c>
      <c r="AD27" s="61">
        <v>692545.82531836024</v>
      </c>
      <c r="AE27" s="61">
        <v>440577.02209425904</v>
      </c>
      <c r="AF27" s="61">
        <v>374312.20822829893</v>
      </c>
      <c r="AG27" s="61">
        <v>265519.85741284856</v>
      </c>
      <c r="AH27" s="61">
        <v>325566.90009601647</v>
      </c>
      <c r="AI27" s="61">
        <v>258030.74910520349</v>
      </c>
      <c r="AJ27" s="61">
        <v>314889.252415378</v>
      </c>
      <c r="AK27" s="61">
        <v>391244.21762940224</v>
      </c>
      <c r="AL27" s="61">
        <v>298779.90662877739</v>
      </c>
      <c r="AM27" s="61">
        <v>306173.03857935034</v>
      </c>
      <c r="AN27" s="61">
        <v>207596.93387814597</v>
      </c>
      <c r="AO27" s="61">
        <v>208087.13146648702</v>
      </c>
      <c r="AP27" s="61">
        <v>189562.55525732107</v>
      </c>
      <c r="AQ27" s="61">
        <v>166635.72837574955</v>
      </c>
      <c r="AR27" s="61">
        <v>392686.56839500013</v>
      </c>
      <c r="AS27" s="61">
        <v>205665.10037329997</v>
      </c>
      <c r="AT27" s="61">
        <v>232780.25426650004</v>
      </c>
      <c r="AU27" s="61">
        <v>177470.15464045003</v>
      </c>
      <c r="AV27" s="61">
        <v>173682.05254375003</v>
      </c>
      <c r="AW27" s="61">
        <v>149858.35085567</v>
      </c>
      <c r="AX27" s="61">
        <v>146366.64162330003</v>
      </c>
      <c r="AY27" s="61">
        <v>64037.309743600003</v>
      </c>
      <c r="AZ27" s="61">
        <v>121687.06148929999</v>
      </c>
      <c r="BA27" s="61">
        <v>107654.23563605</v>
      </c>
      <c r="BB27" s="61">
        <v>123072.12712975002</v>
      </c>
      <c r="BC27" s="61">
        <v>122262.29170310003</v>
      </c>
      <c r="BD27" s="61">
        <v>174980.1100749019</v>
      </c>
      <c r="BE27" s="61">
        <v>79133.296608275996</v>
      </c>
      <c r="BF27" s="61">
        <v>51485.859379499983</v>
      </c>
      <c r="BG27" s="102">
        <v>97786.711788674002</v>
      </c>
      <c r="BH27" s="61">
        <v>122295.58459182602</v>
      </c>
      <c r="BI27" s="61">
        <v>56363.028187200005</v>
      </c>
      <c r="BJ27" s="61">
        <v>55152.592662628005</v>
      </c>
      <c r="BK27" s="61">
        <v>82173.672443999953</v>
      </c>
      <c r="BL27" s="61">
        <v>97691.257842600011</v>
      </c>
      <c r="BM27" s="61">
        <v>74620.273458456009</v>
      </c>
      <c r="BN27" s="61">
        <v>91403.629223000011</v>
      </c>
      <c r="BO27" s="61">
        <v>118818.22586618201</v>
      </c>
      <c r="BP27" s="61">
        <v>315127.89125291369</v>
      </c>
      <c r="BQ27" s="61">
        <v>121109.88908349999</v>
      </c>
      <c r="BR27" s="61">
        <v>97667.76511925002</v>
      </c>
      <c r="BS27" s="61">
        <v>129958.25202349997</v>
      </c>
      <c r="BT27" s="61">
        <v>199512.80995900003</v>
      </c>
      <c r="BU27" s="61">
        <v>181776.89740399999</v>
      </c>
      <c r="BV27" s="61">
        <v>231709.11765100001</v>
      </c>
      <c r="BW27" s="61">
        <v>181915.31971153006</v>
      </c>
      <c r="BX27" s="61">
        <v>150924.19742014003</v>
      </c>
      <c r="BY27" s="61">
        <v>102645.63960378998</v>
      </c>
      <c r="BZ27" s="61">
        <v>88023.845337479986</v>
      </c>
      <c r="CA27" s="61">
        <v>95011.984518599973</v>
      </c>
      <c r="CB27" s="61">
        <v>83605.880455319988</v>
      </c>
      <c r="CE27" s="102">
        <f t="shared" si="29"/>
        <v>101919.622433</v>
      </c>
      <c r="CF27" s="102">
        <f t="shared" si="29"/>
        <v>265364.05025299999</v>
      </c>
      <c r="CG27" s="102">
        <f t="shared" si="29"/>
        <v>437298.22178899997</v>
      </c>
      <c r="CH27" s="102">
        <f t="shared" si="29"/>
        <v>461325.52948925016</v>
      </c>
      <c r="CI27" s="102">
        <f t="shared" si="29"/>
        <v>689243.52439260029</v>
      </c>
      <c r="CJ27" s="102">
        <f t="shared" si="29"/>
        <v>920301.19582082948</v>
      </c>
      <c r="CK27" s="102">
        <f t="shared" si="29"/>
        <v>447242.12752510002</v>
      </c>
      <c r="CL27" s="102">
        <f t="shared" si="29"/>
        <v>643737.68759789993</v>
      </c>
      <c r="CM27" s="102">
        <f t="shared" si="29"/>
        <v>748998.75304404972</v>
      </c>
      <c r="CN27" s="102">
        <f t="shared" si="29"/>
        <v>440107.74699999997</v>
      </c>
      <c r="CO27" s="102">
        <f t="shared" si="30"/>
        <v>854246.59200000018</v>
      </c>
      <c r="CP27" s="102">
        <f t="shared" si="30"/>
        <v>1673768.9790000003</v>
      </c>
      <c r="CQ27" s="102">
        <f t="shared" si="30"/>
        <v>1212516.2959999996</v>
      </c>
      <c r="CR27" s="102">
        <f t="shared" si="30"/>
        <v>1629185.1179999993</v>
      </c>
      <c r="CS27" s="102">
        <f t="shared" si="30"/>
        <v>2115753.8206663993</v>
      </c>
      <c r="CT27" s="102">
        <f t="shared" si="30"/>
        <v>642863.54664353933</v>
      </c>
      <c r="CU27" s="102">
        <f t="shared" si="30"/>
        <v>1092245.3578797858</v>
      </c>
      <c r="CV27" s="102">
        <f t="shared" si="30"/>
        <v>1404960.2554607857</v>
      </c>
      <c r="CW27" s="102">
        <f t="shared" si="30"/>
        <v>1446998.5589916259</v>
      </c>
      <c r="CX27" s="102">
        <f t="shared" si="30"/>
        <v>1887575.5810858849</v>
      </c>
      <c r="CY27" s="102">
        <f t="shared" si="31"/>
        <v>2261887.7893141843</v>
      </c>
      <c r="CZ27" s="102">
        <f t="shared" si="31"/>
        <v>591086.75750886463</v>
      </c>
      <c r="DA27" s="102">
        <f t="shared" si="31"/>
        <v>849117.50661406852</v>
      </c>
      <c r="DB27" s="102">
        <f t="shared" si="31"/>
        <v>1164006.7590294462</v>
      </c>
      <c r="DC27" s="102">
        <f t="shared" si="31"/>
        <v>690024.12425818108</v>
      </c>
      <c r="DD27" s="102">
        <f t="shared" si="31"/>
        <v>996197.16283753142</v>
      </c>
      <c r="DE27" s="102">
        <f t="shared" si="31"/>
        <v>1203794.0967156775</v>
      </c>
      <c r="DF27" s="102">
        <f t="shared" si="31"/>
        <v>397649.68672380783</v>
      </c>
      <c r="DG27" s="102">
        <f t="shared" si="31"/>
        <v>564285.41509955749</v>
      </c>
      <c r="DH27" s="102">
        <f t="shared" si="31"/>
        <v>956971.98349455744</v>
      </c>
      <c r="DI27" s="102">
        <f t="shared" si="32"/>
        <v>438445.35463980027</v>
      </c>
      <c r="DJ27" s="102">
        <f t="shared" si="32"/>
        <v>615915.50928024948</v>
      </c>
      <c r="DK27" s="102">
        <f t="shared" si="32"/>
        <v>789597.56182399951</v>
      </c>
      <c r="DL27" s="102">
        <f t="shared" si="32"/>
        <v>296224.99247897044</v>
      </c>
      <c r="DM27" s="102">
        <f t="shared" si="32"/>
        <v>360262.3022225704</v>
      </c>
      <c r="DN27" s="102">
        <f t="shared" si="32"/>
        <v>481949.36371187121</v>
      </c>
      <c r="DO27" s="102">
        <f t="shared" si="32"/>
        <v>230726.36276580021</v>
      </c>
      <c r="DP27" s="102">
        <f t="shared" si="32"/>
        <v>352988.65446889959</v>
      </c>
      <c r="DQ27" s="102">
        <f t="shared" si="32"/>
        <v>527968.76454380155</v>
      </c>
      <c r="DR27" s="102">
        <f t="shared" si="32"/>
        <v>130619.15598777682</v>
      </c>
      <c r="DS27" s="102">
        <f t="shared" si="33"/>
        <v>228405.86777645163</v>
      </c>
      <c r="DT27" s="102">
        <f t="shared" si="33"/>
        <v>350701.45236827806</v>
      </c>
      <c r="DU27" s="102">
        <f t="shared" si="33"/>
        <v>111515.62084982917</v>
      </c>
      <c r="DV27" s="102">
        <f t="shared" si="33"/>
        <v>193689.29329383001</v>
      </c>
      <c r="DW27" s="102">
        <f t="shared" si="33"/>
        <v>291380.55113643035</v>
      </c>
      <c r="DX27" s="102">
        <f t="shared" si="33"/>
        <v>166023.90268145688</v>
      </c>
      <c r="DY27" s="102">
        <f t="shared" si="33"/>
        <v>284842.12854763865</v>
      </c>
      <c r="DZ27" s="102">
        <f t="shared" si="33"/>
        <v>599970.0198005531</v>
      </c>
      <c r="EA27" s="102">
        <f t="shared" si="33"/>
        <v>218777.65420274995</v>
      </c>
      <c r="EB27" s="102">
        <f t="shared" si="33"/>
        <v>348735.90622624941</v>
      </c>
      <c r="EC27" s="102">
        <f t="shared" si="34"/>
        <v>548248.71618524939</v>
      </c>
      <c r="ED27" s="102">
        <f t="shared" si="34"/>
        <v>413486.01505499892</v>
      </c>
      <c r="EE27" s="102">
        <f t="shared" si="34"/>
        <v>595401.33476652764</v>
      </c>
      <c r="EF27" s="102">
        <f t="shared" si="34"/>
        <v>746325.5321866665</v>
      </c>
      <c r="EG27" s="102">
        <f t="shared" si="34"/>
        <v>190669.4849412702</v>
      </c>
      <c r="EH27" s="102">
        <f t="shared" si="34"/>
        <v>285681.46945986897</v>
      </c>
      <c r="EI27" s="102">
        <f t="shared" si="34"/>
        <v>369287.34991518781</v>
      </c>
    </row>
    <row r="28" spans="1:139" x14ac:dyDescent="0.3">
      <c r="AF28" s="72"/>
      <c r="AG28" s="74"/>
      <c r="AH28" s="78"/>
      <c r="AI28" s="72"/>
      <c r="AJ28" s="72"/>
      <c r="AK28" s="77"/>
      <c r="AL28" s="90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</row>
    <row r="29" spans="1:139" x14ac:dyDescent="0.3">
      <c r="B29" s="99"/>
      <c r="C29" s="99"/>
      <c r="D29" s="99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100"/>
      <c r="U29" s="100"/>
      <c r="V29" s="100"/>
      <c r="W29" s="100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</row>
    <row r="30" spans="1:139" s="64" customFormat="1" ht="16.2" thickBot="1" x14ac:dyDescent="0.35">
      <c r="A30" s="71"/>
      <c r="B30" s="154" t="s">
        <v>121</v>
      </c>
      <c r="C30" s="154" t="s">
        <v>523</v>
      </c>
      <c r="D30" s="154" t="str">
        <f>IF(Menu!$D$12="PT",B30,C30)</f>
        <v>Estoque a Valor de Mercado</v>
      </c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62"/>
      <c r="AG30" s="163"/>
      <c r="AH30" s="162"/>
      <c r="AI30" s="162"/>
      <c r="AJ30" s="162"/>
      <c r="AK30" s="162"/>
      <c r="AL30" s="162"/>
      <c r="AM30" s="162"/>
      <c r="AN30" s="162"/>
      <c r="AO30" s="163"/>
      <c r="AP30" s="163"/>
      <c r="AQ30" s="163"/>
      <c r="AR30" s="163"/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3"/>
      <c r="BJ30" s="163"/>
      <c r="BK30" s="163"/>
      <c r="BL30" s="163"/>
      <c r="BM30" s="163"/>
      <c r="BN30" s="163"/>
      <c r="BO30" s="163"/>
      <c r="BP30" s="163"/>
      <c r="BQ30" s="163"/>
      <c r="BR30" s="163"/>
      <c r="BS30" s="163"/>
      <c r="BT30" s="163"/>
      <c r="BU30" s="163"/>
      <c r="BV30" s="163"/>
      <c r="BW30" s="163"/>
      <c r="BX30" s="163"/>
      <c r="BY30" s="163"/>
      <c r="BZ30" s="163"/>
      <c r="CA30" s="163"/>
      <c r="CB30" s="163"/>
      <c r="CE30" s="155"/>
      <c r="CF30" s="155"/>
      <c r="CG30" s="155"/>
      <c r="CH30" s="155"/>
      <c r="CI30" s="155"/>
      <c r="CJ30" s="155"/>
      <c r="CK30" s="155"/>
      <c r="CL30" s="155"/>
      <c r="CM30" s="155"/>
      <c r="CN30" s="155"/>
      <c r="CO30" s="155"/>
      <c r="CP30" s="155"/>
      <c r="CQ30" s="155"/>
      <c r="CR30" s="155"/>
      <c r="CS30" s="155"/>
      <c r="CT30" s="155"/>
      <c r="CU30" s="155"/>
      <c r="CV30" s="155"/>
      <c r="CW30" s="155"/>
      <c r="CX30" s="155"/>
      <c r="CY30" s="155"/>
      <c r="CZ30" s="155"/>
      <c r="DA30" s="155"/>
      <c r="DB30" s="155"/>
      <c r="DC30" s="155"/>
      <c r="DD30" s="155"/>
      <c r="DE30" s="155"/>
      <c r="DF30" s="155"/>
      <c r="DG30" s="155"/>
      <c r="DH30" s="155"/>
      <c r="DI30" s="155"/>
      <c r="DJ30" s="155"/>
      <c r="DK30" s="155"/>
      <c r="DL30" s="155"/>
      <c r="DM30" s="155"/>
      <c r="DN30" s="155"/>
      <c r="DO30" s="155"/>
      <c r="DP30" s="155"/>
      <c r="DQ30" s="155"/>
      <c r="DR30" s="155"/>
      <c r="DS30" s="155"/>
      <c r="DT30" s="155"/>
      <c r="DU30" s="155"/>
      <c r="DV30" s="155"/>
      <c r="DW30" s="155"/>
      <c r="DX30" s="155"/>
      <c r="DY30" s="155"/>
      <c r="DZ30" s="155"/>
      <c r="EA30" s="155"/>
      <c r="EB30" s="155"/>
      <c r="EC30" s="155"/>
      <c r="ED30" s="155"/>
      <c r="EE30" s="155"/>
      <c r="EF30" s="155"/>
      <c r="EG30" s="155"/>
      <c r="EH30" s="155"/>
      <c r="EI30" s="155"/>
    </row>
    <row r="31" spans="1:139" x14ac:dyDescent="0.3">
      <c r="AF31" s="72"/>
      <c r="AG31" s="77"/>
      <c r="AH31" s="77"/>
      <c r="AI31" s="77"/>
      <c r="AJ31" s="77"/>
      <c r="AK31" s="98"/>
      <c r="AL31" s="98"/>
      <c r="AM31" s="98"/>
      <c r="AN31" s="98"/>
      <c r="AO31" s="93"/>
      <c r="AP31" s="93"/>
      <c r="AQ31" s="77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</row>
    <row r="32" spans="1:139" x14ac:dyDescent="0.3">
      <c r="B32" s="63" t="s">
        <v>120</v>
      </c>
      <c r="C32" s="133" t="s">
        <v>524</v>
      </c>
      <c r="D32" s="133" t="str">
        <f>IF(Menu!$D$12="PT",B32,C32)</f>
        <v>Unidades em estoque</v>
      </c>
      <c r="E32" s="61">
        <v>642</v>
      </c>
      <c r="F32" s="61">
        <v>807</v>
      </c>
      <c r="G32" s="61">
        <v>862</v>
      </c>
      <c r="H32" s="61">
        <v>3153</v>
      </c>
      <c r="I32" s="61">
        <v>2926</v>
      </c>
      <c r="J32" s="61">
        <v>3474</v>
      </c>
      <c r="K32" s="61">
        <v>3786</v>
      </c>
      <c r="L32" s="61">
        <v>4761</v>
      </c>
      <c r="M32" s="61">
        <v>4912</v>
      </c>
      <c r="N32" s="61">
        <v>3908</v>
      </c>
      <c r="O32" s="61">
        <v>3442</v>
      </c>
      <c r="P32" s="61">
        <v>3199</v>
      </c>
      <c r="Q32" s="61">
        <v>3700</v>
      </c>
      <c r="R32" s="61">
        <v>3756</v>
      </c>
      <c r="S32" s="61">
        <v>4026</v>
      </c>
      <c r="T32" s="61">
        <v>5814</v>
      </c>
      <c r="U32" s="61">
        <v>5543</v>
      </c>
      <c r="V32" s="61">
        <v>4883</v>
      </c>
      <c r="W32" s="61">
        <v>4850</v>
      </c>
      <c r="X32" s="61">
        <v>7052</v>
      </c>
      <c r="Y32" s="61">
        <v>6134</v>
      </c>
      <c r="Z32" s="61">
        <v>5266</v>
      </c>
      <c r="AA32" s="61">
        <v>5029</v>
      </c>
      <c r="AB32" s="61">
        <v>6077</v>
      </c>
      <c r="AC32" s="61">
        <v>6157</v>
      </c>
      <c r="AD32" s="61">
        <v>5853</v>
      </c>
      <c r="AE32" s="61">
        <v>5349</v>
      </c>
      <c r="AF32" s="61">
        <v>5342</v>
      </c>
      <c r="AG32" s="61">
        <v>5279</v>
      </c>
      <c r="AH32" s="61">
        <v>5543</v>
      </c>
      <c r="AI32" s="61">
        <v>5132</v>
      </c>
      <c r="AJ32" s="88">
        <v>5233</v>
      </c>
      <c r="AK32" s="88">
        <v>4697</v>
      </c>
      <c r="AL32" s="88">
        <v>4355</v>
      </c>
      <c r="AM32" s="88">
        <v>4047</v>
      </c>
      <c r="AN32" s="88">
        <v>4147</v>
      </c>
      <c r="AO32" s="88">
        <v>3779</v>
      </c>
      <c r="AP32" s="88">
        <v>3691</v>
      </c>
      <c r="AQ32" s="88">
        <v>3904</v>
      </c>
      <c r="AR32" s="88">
        <v>3999</v>
      </c>
      <c r="AS32" s="88">
        <v>3795</v>
      </c>
      <c r="AT32" s="103">
        <v>3554</v>
      </c>
      <c r="AU32" s="88">
        <v>3459</v>
      </c>
      <c r="AV32" s="88">
        <v>3139</v>
      </c>
      <c r="AW32" s="88">
        <v>2887</v>
      </c>
      <c r="AX32" s="88">
        <v>2593</v>
      </c>
      <c r="AY32" s="88">
        <v>2569</v>
      </c>
      <c r="AZ32" s="88">
        <v>2207</v>
      </c>
      <c r="BA32" s="88">
        <v>1967</v>
      </c>
      <c r="BB32" s="88">
        <v>2270</v>
      </c>
      <c r="BC32" s="88">
        <v>1890</v>
      </c>
      <c r="BD32" s="88">
        <v>1446</v>
      </c>
      <c r="BE32" s="88">
        <v>1140</v>
      </c>
      <c r="BF32" s="88">
        <v>954</v>
      </c>
      <c r="BG32" s="103">
        <v>631</v>
      </c>
      <c r="BH32" s="88">
        <v>593</v>
      </c>
      <c r="BI32" s="88">
        <v>497</v>
      </c>
      <c r="BJ32" s="88">
        <v>637</v>
      </c>
      <c r="BK32" s="88">
        <v>1025</v>
      </c>
      <c r="BL32" s="88">
        <v>1402</v>
      </c>
      <c r="BM32" s="88">
        <v>1325</v>
      </c>
      <c r="BN32" s="88">
        <v>1208</v>
      </c>
      <c r="BO32" s="88">
        <v>1223</v>
      </c>
      <c r="BP32" s="88">
        <v>1189</v>
      </c>
      <c r="BQ32" s="88">
        <v>1097</v>
      </c>
      <c r="BR32" s="88">
        <v>1020</v>
      </c>
      <c r="BS32" s="88">
        <v>905</v>
      </c>
      <c r="BT32" s="88">
        <v>824</v>
      </c>
      <c r="BU32" s="88">
        <v>1065</v>
      </c>
      <c r="BV32" s="88">
        <v>1397</v>
      </c>
      <c r="BW32" s="88">
        <v>2327</v>
      </c>
      <c r="BX32" s="88">
        <v>1875</v>
      </c>
      <c r="BY32" s="88">
        <v>952</v>
      </c>
      <c r="BZ32" s="88">
        <v>792</v>
      </c>
      <c r="CA32" s="88">
        <v>917</v>
      </c>
      <c r="CB32" s="88">
        <v>810</v>
      </c>
      <c r="CE32" s="102">
        <f t="shared" ref="CE32:CN35" ca="1" si="35">INDIRECT(ADDRESS(ROW(),MATCH(IF(LEFT(CE$2,2)="1S","2T",IF(LEFT(CE$2,2)="9M","3T","4T"))&amp;RIGHT(CE$2,2),$A$2:$CC$2,0)))</f>
        <v>807</v>
      </c>
      <c r="CF32" s="102">
        <f t="shared" ca="1" si="35"/>
        <v>862</v>
      </c>
      <c r="CG32" s="102">
        <f t="shared" ca="1" si="35"/>
        <v>3153</v>
      </c>
      <c r="CH32" s="102">
        <f t="shared" ca="1" si="35"/>
        <v>3474</v>
      </c>
      <c r="CI32" s="102">
        <f t="shared" ca="1" si="35"/>
        <v>3786</v>
      </c>
      <c r="CJ32" s="102">
        <f t="shared" ca="1" si="35"/>
        <v>4761</v>
      </c>
      <c r="CK32" s="102">
        <f t="shared" ca="1" si="35"/>
        <v>3908</v>
      </c>
      <c r="CL32" s="102">
        <f t="shared" ca="1" si="35"/>
        <v>3442</v>
      </c>
      <c r="CM32" s="102">
        <f t="shared" ca="1" si="35"/>
        <v>3199</v>
      </c>
      <c r="CN32" s="102">
        <f t="shared" ca="1" si="35"/>
        <v>3756</v>
      </c>
      <c r="CO32" s="102">
        <f t="shared" ref="CO32:CX35" ca="1" si="36">INDIRECT(ADDRESS(ROW(),MATCH(IF(LEFT(CO$2,2)="1S","2T",IF(LEFT(CO$2,2)="9M","3T","4T"))&amp;RIGHT(CO$2,2),$A$2:$CC$2,0)))</f>
        <v>4026</v>
      </c>
      <c r="CP32" s="102">
        <f t="shared" ca="1" si="36"/>
        <v>5814</v>
      </c>
      <c r="CQ32" s="102">
        <f t="shared" ca="1" si="36"/>
        <v>4883</v>
      </c>
      <c r="CR32" s="102">
        <f t="shared" ca="1" si="36"/>
        <v>4850</v>
      </c>
      <c r="CS32" s="102">
        <f t="shared" ca="1" si="36"/>
        <v>7052</v>
      </c>
      <c r="CT32" s="102">
        <f t="shared" ca="1" si="36"/>
        <v>5266</v>
      </c>
      <c r="CU32" s="102">
        <f t="shared" ca="1" si="36"/>
        <v>5029</v>
      </c>
      <c r="CV32" s="102">
        <f t="shared" ca="1" si="36"/>
        <v>6077</v>
      </c>
      <c r="CW32" s="102">
        <f t="shared" ca="1" si="36"/>
        <v>5853</v>
      </c>
      <c r="CX32" s="102">
        <f t="shared" ca="1" si="36"/>
        <v>5349</v>
      </c>
      <c r="CY32" s="102">
        <f t="shared" ref="CY32:DH35" ca="1" si="37">INDIRECT(ADDRESS(ROW(),MATCH(IF(LEFT(CY$2,2)="1S","2T",IF(LEFT(CY$2,2)="9M","3T","4T"))&amp;RIGHT(CY$2,2),$A$2:$CC$2,0)))</f>
        <v>5342</v>
      </c>
      <c r="CZ32" s="102">
        <f t="shared" ca="1" si="37"/>
        <v>5543</v>
      </c>
      <c r="DA32" s="102">
        <f t="shared" ca="1" si="37"/>
        <v>5132</v>
      </c>
      <c r="DB32" s="102">
        <f t="shared" ca="1" si="37"/>
        <v>5233</v>
      </c>
      <c r="DC32" s="102">
        <f t="shared" ca="1" si="37"/>
        <v>4355</v>
      </c>
      <c r="DD32" s="102">
        <f t="shared" ca="1" si="37"/>
        <v>4047</v>
      </c>
      <c r="DE32" s="102">
        <f t="shared" ca="1" si="37"/>
        <v>4147</v>
      </c>
      <c r="DF32" s="102">
        <f t="shared" ca="1" si="37"/>
        <v>3691</v>
      </c>
      <c r="DG32" s="102">
        <f t="shared" ca="1" si="37"/>
        <v>3904</v>
      </c>
      <c r="DH32" s="102">
        <f t="shared" ca="1" si="37"/>
        <v>3999</v>
      </c>
      <c r="DI32" s="102">
        <f t="shared" ref="DI32:DR35" ca="1" si="38">INDIRECT(ADDRESS(ROW(),MATCH(IF(LEFT(DI$2,2)="1S","2T",IF(LEFT(DI$2,2)="9M","3T","4T"))&amp;RIGHT(DI$2,2),$A$2:$CC$2,0)))</f>
        <v>3554</v>
      </c>
      <c r="DJ32" s="102">
        <f t="shared" ca="1" si="38"/>
        <v>3459</v>
      </c>
      <c r="DK32" s="102">
        <f t="shared" ca="1" si="38"/>
        <v>3139</v>
      </c>
      <c r="DL32" s="102">
        <f t="shared" ca="1" si="38"/>
        <v>2593</v>
      </c>
      <c r="DM32" s="102">
        <f t="shared" ca="1" si="38"/>
        <v>2569</v>
      </c>
      <c r="DN32" s="102">
        <f t="shared" ca="1" si="38"/>
        <v>2207</v>
      </c>
      <c r="DO32" s="102">
        <f t="shared" ca="1" si="38"/>
        <v>2270</v>
      </c>
      <c r="DP32" s="102">
        <f t="shared" ca="1" si="38"/>
        <v>1890</v>
      </c>
      <c r="DQ32" s="102">
        <f t="shared" ca="1" si="38"/>
        <v>1446</v>
      </c>
      <c r="DR32" s="102">
        <f t="shared" ca="1" si="38"/>
        <v>954</v>
      </c>
      <c r="DS32" s="102">
        <f t="shared" ref="DS32:EB35" ca="1" si="39">INDIRECT(ADDRESS(ROW(),MATCH(IF(LEFT(DS$2,2)="1S","2T",IF(LEFT(DS$2,2)="9M","3T","4T"))&amp;RIGHT(DS$2,2),$A$2:$CC$2,0)))</f>
        <v>631</v>
      </c>
      <c r="DT32" s="102">
        <f t="shared" ca="1" si="39"/>
        <v>593</v>
      </c>
      <c r="DU32" s="102">
        <f t="shared" ca="1" si="39"/>
        <v>637</v>
      </c>
      <c r="DV32" s="102">
        <f t="shared" ca="1" si="39"/>
        <v>1025</v>
      </c>
      <c r="DW32" s="102">
        <f t="shared" ca="1" si="39"/>
        <v>1402</v>
      </c>
      <c r="DX32" s="102">
        <f t="shared" ca="1" si="39"/>
        <v>1208</v>
      </c>
      <c r="DY32" s="102">
        <f t="shared" ca="1" si="39"/>
        <v>1223</v>
      </c>
      <c r="DZ32" s="102">
        <f t="shared" ca="1" si="39"/>
        <v>1189</v>
      </c>
      <c r="EA32" s="102">
        <f t="shared" ca="1" si="39"/>
        <v>1020</v>
      </c>
      <c r="EB32" s="102">
        <f t="shared" ca="1" si="39"/>
        <v>905</v>
      </c>
      <c r="EC32" s="102">
        <f t="shared" ref="EC32:EI35" ca="1" si="40">INDIRECT(ADDRESS(ROW(),MATCH(IF(LEFT(EC$2,2)="1S","2T",IF(LEFT(EC$2,2)="9M","3T","4T"))&amp;RIGHT(EC$2,2),$A$2:$CC$2,0)))</f>
        <v>824</v>
      </c>
      <c r="ED32" s="102">
        <f t="shared" ca="1" si="40"/>
        <v>1397</v>
      </c>
      <c r="EE32" s="102">
        <f t="shared" ca="1" si="40"/>
        <v>2327</v>
      </c>
      <c r="EF32" s="102">
        <f t="shared" ca="1" si="40"/>
        <v>1875</v>
      </c>
      <c r="EG32" s="102">
        <f t="shared" ca="1" si="40"/>
        <v>792</v>
      </c>
      <c r="EH32" s="102">
        <f t="shared" ca="1" si="40"/>
        <v>917</v>
      </c>
      <c r="EI32" s="102">
        <f t="shared" ca="1" si="40"/>
        <v>810</v>
      </c>
    </row>
    <row r="33" spans="1:139" x14ac:dyDescent="0.3">
      <c r="B33" s="63" t="s">
        <v>119</v>
      </c>
      <c r="C33" s="133" t="s">
        <v>525</v>
      </c>
      <c r="D33" s="133" t="str">
        <f>IF(Menu!$D$12="PT",B33,C33)</f>
        <v>Área útil em estoque (m²)</v>
      </c>
      <c r="E33" s="61">
        <v>64929.350000000006</v>
      </c>
      <c r="F33" s="61">
        <v>104204.45999999999</v>
      </c>
      <c r="G33" s="61">
        <v>107905.29000000001</v>
      </c>
      <c r="H33" s="61">
        <v>368184.14999999997</v>
      </c>
      <c r="I33" s="61">
        <v>357854.33</v>
      </c>
      <c r="J33" s="61">
        <v>379122.25000000006</v>
      </c>
      <c r="K33" s="61">
        <v>413825</v>
      </c>
      <c r="L33" s="61">
        <v>506288.77734494768</v>
      </c>
      <c r="M33" s="61">
        <v>526323.1573449478</v>
      </c>
      <c r="N33" s="61">
        <v>419606.39000000007</v>
      </c>
      <c r="O33" s="61">
        <v>371005.57</v>
      </c>
      <c r="P33" s="61">
        <v>351726.87000000005</v>
      </c>
      <c r="Q33" s="61">
        <v>368772.10596881958</v>
      </c>
      <c r="R33" s="61">
        <v>367871.98</v>
      </c>
      <c r="S33" s="61">
        <v>389894.02000000008</v>
      </c>
      <c r="T33" s="61">
        <v>524870.12000000011</v>
      </c>
      <c r="U33" s="61">
        <v>470901.33999999985</v>
      </c>
      <c r="V33" s="61">
        <v>420374.70999999996</v>
      </c>
      <c r="W33" s="61">
        <v>419846.89</v>
      </c>
      <c r="X33" s="61">
        <v>591601.47</v>
      </c>
      <c r="Y33" s="61">
        <v>507351.3</v>
      </c>
      <c r="Z33" s="61">
        <v>440884.96</v>
      </c>
      <c r="AA33" s="61">
        <v>424885.72000000003</v>
      </c>
      <c r="AB33" s="61">
        <v>458898.90999999992</v>
      </c>
      <c r="AC33" s="61">
        <v>471407.98</v>
      </c>
      <c r="AD33" s="61">
        <v>439948.22999999981</v>
      </c>
      <c r="AE33" s="61">
        <v>430643.99000000011</v>
      </c>
      <c r="AF33" s="61">
        <v>415429.78</v>
      </c>
      <c r="AG33" s="61">
        <v>403105.17</v>
      </c>
      <c r="AH33" s="61">
        <v>414784.57000000007</v>
      </c>
      <c r="AI33" s="61">
        <v>388709.4</v>
      </c>
      <c r="AJ33" s="61">
        <v>398782.77999999991</v>
      </c>
      <c r="AK33" s="61">
        <v>355797.06000000023</v>
      </c>
      <c r="AL33" s="61">
        <v>332962.67000000004</v>
      </c>
      <c r="AM33" s="61">
        <v>304233.41000000027</v>
      </c>
      <c r="AN33" s="61">
        <v>310142.39000000007</v>
      </c>
      <c r="AO33" s="61">
        <v>282051.89</v>
      </c>
      <c r="AP33" s="61">
        <v>278538.07000000012</v>
      </c>
      <c r="AQ33" s="61">
        <v>296181.02000000025</v>
      </c>
      <c r="AR33" s="61">
        <v>301278.82000000012</v>
      </c>
      <c r="AS33" s="61">
        <v>387289.95000000007</v>
      </c>
      <c r="AT33" s="102">
        <v>318203.69000000024</v>
      </c>
      <c r="AU33" s="61">
        <v>309471.43000000017</v>
      </c>
      <c r="AV33" s="61">
        <v>281252.37000000023</v>
      </c>
      <c r="AW33" s="61">
        <v>254816.70000000019</v>
      </c>
      <c r="AX33" s="61">
        <v>778750.88847091049</v>
      </c>
      <c r="AY33" s="61">
        <v>230380.75000000017</v>
      </c>
      <c r="AZ33" s="61">
        <v>203072.2100000002</v>
      </c>
      <c r="BA33" s="61">
        <v>173124.35000000021</v>
      </c>
      <c r="BB33" s="61">
        <v>184303.01000000047</v>
      </c>
      <c r="BC33" s="61">
        <v>153409.13000000015</v>
      </c>
      <c r="BD33" s="61">
        <v>114879.29999999996</v>
      </c>
      <c r="BE33" s="61">
        <v>93738.599999999977</v>
      </c>
      <c r="BF33" s="61">
        <v>72021.37999999999</v>
      </c>
      <c r="BG33" s="102">
        <v>44762.179999999957</v>
      </c>
      <c r="BH33" s="61">
        <v>50585.579999999973</v>
      </c>
      <c r="BI33" s="61">
        <v>41995.319999999985</v>
      </c>
      <c r="BJ33" s="61">
        <v>49376.199999999953</v>
      </c>
      <c r="BK33" s="61">
        <v>63898.109999999986</v>
      </c>
      <c r="BL33" s="61">
        <v>91689.750000000015</v>
      </c>
      <c r="BM33" s="61">
        <v>82721.179999999993</v>
      </c>
      <c r="BN33" s="61">
        <v>72508.790000000008</v>
      </c>
      <c r="BO33" s="61">
        <v>83588.160000000003</v>
      </c>
      <c r="BP33" s="61">
        <v>89866.179999999978</v>
      </c>
      <c r="BQ33" s="61">
        <v>80145.490000000005</v>
      </c>
      <c r="BR33" s="61">
        <v>72416.73</v>
      </c>
      <c r="BS33" s="61">
        <v>60808.530000000006</v>
      </c>
      <c r="BT33" s="61">
        <v>59418.469999999987</v>
      </c>
      <c r="BU33" s="61">
        <v>83099.929999999964</v>
      </c>
      <c r="BV33" s="61">
        <v>104060.30999999997</v>
      </c>
      <c r="BW33" s="61">
        <v>143968.57</v>
      </c>
      <c r="BX33" s="61">
        <v>115381.69</v>
      </c>
      <c r="BY33" s="61">
        <v>77372.059999999969</v>
      </c>
      <c r="BZ33" s="61">
        <v>67328.5</v>
      </c>
      <c r="CA33" s="61">
        <v>66018.559999999983</v>
      </c>
      <c r="CB33" s="61">
        <v>60317.759999999987</v>
      </c>
      <c r="CE33" s="102">
        <f t="shared" ca="1" si="35"/>
        <v>104204.45999999999</v>
      </c>
      <c r="CF33" s="102">
        <f t="shared" ca="1" si="35"/>
        <v>107905.29000000001</v>
      </c>
      <c r="CG33" s="102">
        <f t="shared" ca="1" si="35"/>
        <v>368184.14999999997</v>
      </c>
      <c r="CH33" s="102">
        <f t="shared" ca="1" si="35"/>
        <v>379122.25000000006</v>
      </c>
      <c r="CI33" s="102">
        <f t="shared" ca="1" si="35"/>
        <v>413825</v>
      </c>
      <c r="CJ33" s="102">
        <f t="shared" ca="1" si="35"/>
        <v>506288.77734494768</v>
      </c>
      <c r="CK33" s="102">
        <f t="shared" ca="1" si="35"/>
        <v>419606.39000000007</v>
      </c>
      <c r="CL33" s="102">
        <f t="shared" ca="1" si="35"/>
        <v>371005.57</v>
      </c>
      <c r="CM33" s="102">
        <f t="shared" ca="1" si="35"/>
        <v>351726.87000000005</v>
      </c>
      <c r="CN33" s="102">
        <f t="shared" ca="1" si="35"/>
        <v>367871.98</v>
      </c>
      <c r="CO33" s="102">
        <f t="shared" ca="1" si="36"/>
        <v>389894.02000000008</v>
      </c>
      <c r="CP33" s="102">
        <f t="shared" ca="1" si="36"/>
        <v>524870.12000000011</v>
      </c>
      <c r="CQ33" s="102">
        <f t="shared" ca="1" si="36"/>
        <v>420374.70999999996</v>
      </c>
      <c r="CR33" s="102">
        <f t="shared" ca="1" si="36"/>
        <v>419846.89</v>
      </c>
      <c r="CS33" s="102">
        <f t="shared" ca="1" si="36"/>
        <v>591601.47</v>
      </c>
      <c r="CT33" s="102">
        <f t="shared" ca="1" si="36"/>
        <v>440884.96</v>
      </c>
      <c r="CU33" s="102">
        <f t="shared" ca="1" si="36"/>
        <v>424885.72000000003</v>
      </c>
      <c r="CV33" s="102">
        <f t="shared" ca="1" si="36"/>
        <v>458898.90999999992</v>
      </c>
      <c r="CW33" s="102">
        <f t="shared" ca="1" si="36"/>
        <v>439948.22999999981</v>
      </c>
      <c r="CX33" s="102">
        <f t="shared" ca="1" si="36"/>
        <v>430643.99000000011</v>
      </c>
      <c r="CY33" s="102">
        <f t="shared" ca="1" si="37"/>
        <v>415429.78</v>
      </c>
      <c r="CZ33" s="102">
        <f t="shared" ca="1" si="37"/>
        <v>414784.57000000007</v>
      </c>
      <c r="DA33" s="102">
        <f t="shared" ca="1" si="37"/>
        <v>388709.4</v>
      </c>
      <c r="DB33" s="102">
        <f t="shared" ca="1" si="37"/>
        <v>398782.77999999991</v>
      </c>
      <c r="DC33" s="102">
        <f t="shared" ca="1" si="37"/>
        <v>332962.67000000004</v>
      </c>
      <c r="DD33" s="102">
        <f t="shared" ca="1" si="37"/>
        <v>304233.41000000027</v>
      </c>
      <c r="DE33" s="102">
        <f t="shared" ca="1" si="37"/>
        <v>310142.39000000007</v>
      </c>
      <c r="DF33" s="102">
        <f t="shared" ca="1" si="37"/>
        <v>278538.07000000012</v>
      </c>
      <c r="DG33" s="102">
        <f t="shared" ca="1" si="37"/>
        <v>296181.02000000025</v>
      </c>
      <c r="DH33" s="102">
        <f t="shared" ca="1" si="37"/>
        <v>301278.82000000012</v>
      </c>
      <c r="DI33" s="102">
        <f t="shared" ca="1" si="38"/>
        <v>318203.69000000024</v>
      </c>
      <c r="DJ33" s="102">
        <f t="shared" ca="1" si="38"/>
        <v>309471.43000000017</v>
      </c>
      <c r="DK33" s="102">
        <f t="shared" ca="1" si="38"/>
        <v>281252.37000000023</v>
      </c>
      <c r="DL33" s="102">
        <f t="shared" ca="1" si="38"/>
        <v>778750.88847091049</v>
      </c>
      <c r="DM33" s="102">
        <f t="shared" ca="1" si="38"/>
        <v>230380.75000000017</v>
      </c>
      <c r="DN33" s="102">
        <f t="shared" ca="1" si="38"/>
        <v>203072.2100000002</v>
      </c>
      <c r="DO33" s="102">
        <f t="shared" ca="1" si="38"/>
        <v>184303.01000000047</v>
      </c>
      <c r="DP33" s="102">
        <f t="shared" ca="1" si="38"/>
        <v>153409.13000000015</v>
      </c>
      <c r="DQ33" s="102">
        <f t="shared" ca="1" si="38"/>
        <v>114879.29999999996</v>
      </c>
      <c r="DR33" s="102">
        <f t="shared" ca="1" si="38"/>
        <v>72021.37999999999</v>
      </c>
      <c r="DS33" s="102">
        <f t="shared" ca="1" si="39"/>
        <v>44762.179999999957</v>
      </c>
      <c r="DT33" s="102">
        <f t="shared" ca="1" si="39"/>
        <v>50585.579999999973</v>
      </c>
      <c r="DU33" s="102">
        <f t="shared" ca="1" si="39"/>
        <v>49376.199999999953</v>
      </c>
      <c r="DV33" s="102">
        <f t="shared" ca="1" si="39"/>
        <v>63898.109999999986</v>
      </c>
      <c r="DW33" s="102">
        <f t="shared" ca="1" si="39"/>
        <v>91689.750000000015</v>
      </c>
      <c r="DX33" s="102">
        <f t="shared" ca="1" si="39"/>
        <v>72508.790000000008</v>
      </c>
      <c r="DY33" s="102">
        <f t="shared" ca="1" si="39"/>
        <v>83588.160000000003</v>
      </c>
      <c r="DZ33" s="102">
        <f t="shared" ca="1" si="39"/>
        <v>89866.179999999978</v>
      </c>
      <c r="EA33" s="102">
        <f t="shared" ca="1" si="39"/>
        <v>72416.73</v>
      </c>
      <c r="EB33" s="102">
        <f t="shared" ca="1" si="39"/>
        <v>60808.530000000006</v>
      </c>
      <c r="EC33" s="102">
        <f t="shared" ca="1" si="40"/>
        <v>59418.469999999987</v>
      </c>
      <c r="ED33" s="102">
        <f t="shared" ca="1" si="40"/>
        <v>104060.30999999997</v>
      </c>
      <c r="EE33" s="102">
        <f t="shared" ca="1" si="40"/>
        <v>143968.57</v>
      </c>
      <c r="EF33" s="102">
        <f t="shared" ca="1" si="40"/>
        <v>115381.69</v>
      </c>
      <c r="EG33" s="102">
        <f t="shared" ca="1" si="40"/>
        <v>67328.5</v>
      </c>
      <c r="EH33" s="102">
        <f t="shared" ca="1" si="40"/>
        <v>66018.559999999983</v>
      </c>
      <c r="EI33" s="102">
        <f t="shared" ca="1" si="40"/>
        <v>60317.759999999987</v>
      </c>
    </row>
    <row r="34" spans="1:139" x14ac:dyDescent="0.3">
      <c r="B34" s="63" t="s">
        <v>118</v>
      </c>
      <c r="C34" s="133" t="s">
        <v>526</v>
      </c>
      <c r="D34" s="133" t="str">
        <f>IF(Menu!$D$12="PT",B34,C34)</f>
        <v>VGV em estoque (R$ mil) - 100%</v>
      </c>
      <c r="E34" s="61">
        <v>206061.69517999998</v>
      </c>
      <c r="F34" s="61">
        <v>336383</v>
      </c>
      <c r="G34" s="61">
        <v>338290.90002</v>
      </c>
      <c r="H34" s="61">
        <v>1074999</v>
      </c>
      <c r="I34" s="61">
        <v>1037778.0136078432</v>
      </c>
      <c r="J34" s="61">
        <v>1063677.3720000002</v>
      </c>
      <c r="K34" s="61">
        <v>1239652.9999999998</v>
      </c>
      <c r="L34" s="61">
        <v>1809050.7316526615</v>
      </c>
      <c r="M34" s="61">
        <v>1877778.0000000002</v>
      </c>
      <c r="N34" s="61">
        <v>1639357.833581869</v>
      </c>
      <c r="O34" s="61">
        <v>1491657.4625265817</v>
      </c>
      <c r="P34" s="61">
        <v>1383550.6327281687</v>
      </c>
      <c r="Q34" s="61">
        <v>1423747.7381679812</v>
      </c>
      <c r="R34" s="61">
        <v>1540555.6740464398</v>
      </c>
      <c r="S34" s="61">
        <v>1688982.4909638125</v>
      </c>
      <c r="T34" s="61">
        <v>2031316.6424718844</v>
      </c>
      <c r="U34" s="61">
        <v>1960064.8127860122</v>
      </c>
      <c r="V34" s="61">
        <v>1908367.1971100001</v>
      </c>
      <c r="W34" s="61">
        <v>2019727.6810000001</v>
      </c>
      <c r="X34" s="61">
        <v>2898147.9279512698</v>
      </c>
      <c r="Y34" s="61">
        <v>2565865.2157627922</v>
      </c>
      <c r="Z34" s="61">
        <v>2261193.0544771636</v>
      </c>
      <c r="AA34" s="61">
        <v>2312040.925586794</v>
      </c>
      <c r="AB34" s="61">
        <v>2472536.9408901408</v>
      </c>
      <c r="AC34" s="61">
        <v>2607390.2669673418</v>
      </c>
      <c r="AD34" s="61">
        <v>2742235.4142621462</v>
      </c>
      <c r="AE34" s="61">
        <v>2837910.4807887999</v>
      </c>
      <c r="AF34" s="61">
        <v>2829352.01360557</v>
      </c>
      <c r="AG34" s="61">
        <v>2694636.5124065797</v>
      </c>
      <c r="AH34" s="61">
        <v>2932482.9921990163</v>
      </c>
      <c r="AI34" s="61">
        <v>2815110.7790000001</v>
      </c>
      <c r="AJ34" s="88">
        <v>2488478.5702563198</v>
      </c>
      <c r="AK34" s="88">
        <v>2269197.9905182798</v>
      </c>
      <c r="AL34" s="88">
        <v>2222428.7792807901</v>
      </c>
      <c r="AM34" s="88">
        <v>1981119.2203255801</v>
      </c>
      <c r="AN34" s="88">
        <v>1972012.42611965</v>
      </c>
      <c r="AO34" s="88">
        <v>1850725.4772506501</v>
      </c>
      <c r="AP34" s="88">
        <v>1858191.51625883</v>
      </c>
      <c r="AQ34" s="88">
        <v>2033601.67662694</v>
      </c>
      <c r="AR34" s="88">
        <v>1995299.9941239599</v>
      </c>
      <c r="AS34" s="88">
        <v>1794344.00630553</v>
      </c>
      <c r="AT34" s="103">
        <v>1717139.4523337858</v>
      </c>
      <c r="AU34" s="88">
        <v>1635354.6118644599</v>
      </c>
      <c r="AV34" s="88">
        <v>1427958.9883138111</v>
      </c>
      <c r="AW34" s="88">
        <v>1316418.3796050458</v>
      </c>
      <c r="AX34" s="88">
        <v>1227941.1172554051</v>
      </c>
      <c r="AY34" s="88">
        <v>1280977.2518254344</v>
      </c>
      <c r="AZ34" s="88">
        <v>1139735.1486413798</v>
      </c>
      <c r="BA34" s="88">
        <v>941924.43315812398</v>
      </c>
      <c r="BB34" s="88">
        <v>1015545.571194334</v>
      </c>
      <c r="BC34" s="88">
        <v>832589.95881372585</v>
      </c>
      <c r="BD34" s="88">
        <v>612100.90112991072</v>
      </c>
      <c r="BE34" s="88">
        <v>476842.79772413505</v>
      </c>
      <c r="BF34" s="88">
        <v>415378.81833770138</v>
      </c>
      <c r="BG34" s="103">
        <v>293493.21735309489</v>
      </c>
      <c r="BH34" s="88">
        <v>408177.41364911047</v>
      </c>
      <c r="BI34" s="88">
        <v>356617.39495856373</v>
      </c>
      <c r="BJ34" s="88">
        <v>461237.60986185545</v>
      </c>
      <c r="BK34" s="88">
        <v>618953.32171884517</v>
      </c>
      <c r="BL34" s="88">
        <v>1008759.62501</v>
      </c>
      <c r="BM34" s="88">
        <v>936383.58374999999</v>
      </c>
      <c r="BN34" s="88">
        <v>838425.24348000006</v>
      </c>
      <c r="BO34" s="88">
        <v>1014432.0009600001</v>
      </c>
      <c r="BP34" s="88">
        <v>1293463.3959643501</v>
      </c>
      <c r="BQ34" s="88">
        <v>1172347.67</v>
      </c>
      <c r="BR34" s="88">
        <v>1047089.9498000001</v>
      </c>
      <c r="BS34" s="88">
        <v>885119.31980000006</v>
      </c>
      <c r="BT34" s="88">
        <v>861585.90980000002</v>
      </c>
      <c r="BU34" s="88">
        <v>1211102.5298000001</v>
      </c>
      <c r="BV34" s="88">
        <v>1430130.1705581718</v>
      </c>
      <c r="BW34" s="88">
        <v>1820346.7321785064</v>
      </c>
      <c r="BX34" s="88">
        <v>1486490.3832162567</v>
      </c>
      <c r="BY34" s="88">
        <v>1197047.0002584204</v>
      </c>
      <c r="BZ34" s="88">
        <v>1080366.2971643279</v>
      </c>
      <c r="CA34" s="88">
        <v>1023496.8117184718</v>
      </c>
      <c r="CB34" s="88">
        <v>967243.32753984001</v>
      </c>
      <c r="CE34" s="102">
        <f t="shared" ca="1" si="35"/>
        <v>336383</v>
      </c>
      <c r="CF34" s="102">
        <f t="shared" ca="1" si="35"/>
        <v>338290.90002</v>
      </c>
      <c r="CG34" s="102">
        <f t="shared" ca="1" si="35"/>
        <v>1074999</v>
      </c>
      <c r="CH34" s="102">
        <f t="shared" ca="1" si="35"/>
        <v>1063677.3720000002</v>
      </c>
      <c r="CI34" s="102">
        <f t="shared" ca="1" si="35"/>
        <v>1239652.9999999998</v>
      </c>
      <c r="CJ34" s="102">
        <f t="shared" ca="1" si="35"/>
        <v>1809050.7316526615</v>
      </c>
      <c r="CK34" s="102">
        <f t="shared" ca="1" si="35"/>
        <v>1639357.833581869</v>
      </c>
      <c r="CL34" s="102">
        <f t="shared" ca="1" si="35"/>
        <v>1491657.4625265817</v>
      </c>
      <c r="CM34" s="102">
        <f t="shared" ca="1" si="35"/>
        <v>1383550.6327281687</v>
      </c>
      <c r="CN34" s="102">
        <f t="shared" ca="1" si="35"/>
        <v>1540555.6740464398</v>
      </c>
      <c r="CO34" s="102">
        <f t="shared" ca="1" si="36"/>
        <v>1688982.4909638125</v>
      </c>
      <c r="CP34" s="102">
        <f t="shared" ca="1" si="36"/>
        <v>2031316.6424718844</v>
      </c>
      <c r="CQ34" s="102">
        <f t="shared" ca="1" si="36"/>
        <v>1908367.1971100001</v>
      </c>
      <c r="CR34" s="102">
        <f t="shared" ca="1" si="36"/>
        <v>2019727.6810000001</v>
      </c>
      <c r="CS34" s="102">
        <f t="shared" ca="1" si="36"/>
        <v>2898147.9279512698</v>
      </c>
      <c r="CT34" s="102">
        <f t="shared" ca="1" si="36"/>
        <v>2261193.0544771636</v>
      </c>
      <c r="CU34" s="102">
        <f t="shared" ca="1" si="36"/>
        <v>2312040.925586794</v>
      </c>
      <c r="CV34" s="102">
        <f t="shared" ca="1" si="36"/>
        <v>2472536.9408901408</v>
      </c>
      <c r="CW34" s="102">
        <f t="shared" ca="1" si="36"/>
        <v>2742235.4142621462</v>
      </c>
      <c r="CX34" s="102">
        <f t="shared" ca="1" si="36"/>
        <v>2837910.4807887999</v>
      </c>
      <c r="CY34" s="102">
        <f t="shared" ca="1" si="37"/>
        <v>2829352.01360557</v>
      </c>
      <c r="CZ34" s="102">
        <f t="shared" ca="1" si="37"/>
        <v>2932482.9921990163</v>
      </c>
      <c r="DA34" s="102">
        <f t="shared" ca="1" si="37"/>
        <v>2815110.7790000001</v>
      </c>
      <c r="DB34" s="102">
        <f t="shared" ca="1" si="37"/>
        <v>2488478.5702563198</v>
      </c>
      <c r="DC34" s="102">
        <f t="shared" ca="1" si="37"/>
        <v>2222428.7792807901</v>
      </c>
      <c r="DD34" s="102">
        <f t="shared" ca="1" si="37"/>
        <v>1981119.2203255801</v>
      </c>
      <c r="DE34" s="102">
        <f t="shared" ca="1" si="37"/>
        <v>1972012.42611965</v>
      </c>
      <c r="DF34" s="102">
        <f t="shared" ca="1" si="37"/>
        <v>1858191.51625883</v>
      </c>
      <c r="DG34" s="102">
        <f t="shared" ca="1" si="37"/>
        <v>2033601.67662694</v>
      </c>
      <c r="DH34" s="102">
        <f t="shared" ca="1" si="37"/>
        <v>1995299.9941239599</v>
      </c>
      <c r="DI34" s="102">
        <f t="shared" ca="1" si="38"/>
        <v>1717139.4523337858</v>
      </c>
      <c r="DJ34" s="102">
        <f t="shared" ca="1" si="38"/>
        <v>1635354.6118644599</v>
      </c>
      <c r="DK34" s="102">
        <f t="shared" ca="1" si="38"/>
        <v>1427958.9883138111</v>
      </c>
      <c r="DL34" s="102">
        <f t="shared" ca="1" si="38"/>
        <v>1227941.1172554051</v>
      </c>
      <c r="DM34" s="102">
        <f t="shared" ca="1" si="38"/>
        <v>1280977.2518254344</v>
      </c>
      <c r="DN34" s="102">
        <f t="shared" ca="1" si="38"/>
        <v>1139735.1486413798</v>
      </c>
      <c r="DO34" s="102">
        <f t="shared" ca="1" si="38"/>
        <v>1015545.571194334</v>
      </c>
      <c r="DP34" s="102">
        <f t="shared" ca="1" si="38"/>
        <v>832589.95881372585</v>
      </c>
      <c r="DQ34" s="102">
        <f t="shared" ca="1" si="38"/>
        <v>612100.90112991072</v>
      </c>
      <c r="DR34" s="102">
        <f t="shared" ca="1" si="38"/>
        <v>415378.81833770138</v>
      </c>
      <c r="DS34" s="102">
        <f t="shared" ca="1" si="39"/>
        <v>293493.21735309489</v>
      </c>
      <c r="DT34" s="102">
        <f t="shared" ca="1" si="39"/>
        <v>408177.41364911047</v>
      </c>
      <c r="DU34" s="102">
        <f t="shared" ca="1" si="39"/>
        <v>461237.60986185545</v>
      </c>
      <c r="DV34" s="102">
        <f t="shared" ca="1" si="39"/>
        <v>618953.32171884517</v>
      </c>
      <c r="DW34" s="102">
        <f t="shared" ca="1" si="39"/>
        <v>1008759.62501</v>
      </c>
      <c r="DX34" s="102">
        <f t="shared" ca="1" si="39"/>
        <v>838425.24348000006</v>
      </c>
      <c r="DY34" s="102">
        <f t="shared" ca="1" si="39"/>
        <v>1014432.0009600001</v>
      </c>
      <c r="DZ34" s="102">
        <f t="shared" ca="1" si="39"/>
        <v>1293463.3959643501</v>
      </c>
      <c r="EA34" s="102">
        <f t="shared" ca="1" si="39"/>
        <v>1047089.9498000001</v>
      </c>
      <c r="EB34" s="102">
        <f t="shared" ca="1" si="39"/>
        <v>885119.31980000006</v>
      </c>
      <c r="EC34" s="102">
        <f t="shared" ca="1" si="40"/>
        <v>861585.90980000002</v>
      </c>
      <c r="ED34" s="102">
        <f t="shared" ca="1" si="40"/>
        <v>1430130.1705581718</v>
      </c>
      <c r="EE34" s="102">
        <f t="shared" ca="1" si="40"/>
        <v>1820346.7321785064</v>
      </c>
      <c r="EF34" s="102">
        <f t="shared" ca="1" si="40"/>
        <v>1486490.3832162567</v>
      </c>
      <c r="EG34" s="102">
        <f t="shared" ca="1" si="40"/>
        <v>1080366.2971643279</v>
      </c>
      <c r="EH34" s="102">
        <f t="shared" ca="1" si="40"/>
        <v>1023496.8117184718</v>
      </c>
      <c r="EI34" s="102">
        <f t="shared" ca="1" si="40"/>
        <v>967243.32753984001</v>
      </c>
    </row>
    <row r="35" spans="1:139" ht="14.4" thickBot="1" x14ac:dyDescent="0.35">
      <c r="B35" s="66" t="s">
        <v>117</v>
      </c>
      <c r="C35" s="66" t="s">
        <v>527</v>
      </c>
      <c r="D35" s="66" t="str">
        <f>IF(Menu!$D$12="PT",B35,C35)</f>
        <v>VGV em estoque (R$ mil) - % TECNISA</v>
      </c>
      <c r="E35" s="60"/>
      <c r="F35" s="60">
        <v>326647.77499999997</v>
      </c>
      <c r="G35" s="60">
        <v>330956.52501999994</v>
      </c>
      <c r="H35" s="60">
        <v>705647.84499999997</v>
      </c>
      <c r="I35" s="60">
        <v>775640.69900000002</v>
      </c>
      <c r="J35" s="60">
        <v>786694.70780999993</v>
      </c>
      <c r="K35" s="60">
        <v>935098</v>
      </c>
      <c r="L35" s="60">
        <v>1364273.0000000002</v>
      </c>
      <c r="M35" s="60">
        <v>1419255</v>
      </c>
      <c r="N35" s="60">
        <v>1238146.9181676998</v>
      </c>
      <c r="O35" s="60">
        <v>1161875.1789708999</v>
      </c>
      <c r="P35" s="60">
        <v>1060882.3682199998</v>
      </c>
      <c r="Q35" s="60">
        <v>1110449.6117902</v>
      </c>
      <c r="R35" s="60">
        <v>1218363.475833643</v>
      </c>
      <c r="S35" s="60">
        <v>1322687.0518613961</v>
      </c>
      <c r="T35" s="60">
        <v>1654480.3166887856</v>
      </c>
      <c r="U35" s="60">
        <v>1590475.1388113957</v>
      </c>
      <c r="V35" s="60">
        <v>1530199.7386431987</v>
      </c>
      <c r="W35" s="60">
        <v>1567688.371</v>
      </c>
      <c r="X35" s="60">
        <v>2172462.9773198683</v>
      </c>
      <c r="Y35" s="60">
        <v>1949038.8825228484</v>
      </c>
      <c r="Z35" s="60">
        <v>1645079.9233987788</v>
      </c>
      <c r="AA35" s="60">
        <v>1722116.4213769424</v>
      </c>
      <c r="AB35" s="60">
        <v>2025777.59726916</v>
      </c>
      <c r="AC35" s="60">
        <v>2003513.0005993217</v>
      </c>
      <c r="AD35" s="60">
        <v>2087544.9709379491</v>
      </c>
      <c r="AE35" s="60">
        <v>2179746.9394053542</v>
      </c>
      <c r="AF35" s="60">
        <v>2239504.05438942</v>
      </c>
      <c r="AG35" s="60">
        <v>2170052.0014759637</v>
      </c>
      <c r="AH35" s="60">
        <v>2346961.6843989077</v>
      </c>
      <c r="AI35" s="60">
        <v>2255571.7650000001</v>
      </c>
      <c r="AJ35" s="60">
        <v>1975630.0009999999</v>
      </c>
      <c r="AK35" s="60">
        <v>1759419.16007621</v>
      </c>
      <c r="AL35" s="60">
        <v>1719999.6793833801</v>
      </c>
      <c r="AM35" s="60">
        <v>1404603.81355255</v>
      </c>
      <c r="AN35" s="60">
        <v>1452989.52261667</v>
      </c>
      <c r="AO35" s="60">
        <v>1335414.0007603699</v>
      </c>
      <c r="AP35" s="60">
        <v>1339073.5978989301</v>
      </c>
      <c r="AQ35" s="60">
        <v>1478442.2476596599</v>
      </c>
      <c r="AR35" s="60">
        <v>1445747.5728060401</v>
      </c>
      <c r="AS35" s="60">
        <v>1282468.6290097099</v>
      </c>
      <c r="AT35" s="60">
        <v>1213313.3961168046</v>
      </c>
      <c r="AU35" s="60">
        <v>1153733.4568307605</v>
      </c>
      <c r="AV35" s="60">
        <v>1027032.573404578</v>
      </c>
      <c r="AW35" s="60">
        <v>956849.10609864874</v>
      </c>
      <c r="AX35" s="60">
        <v>882987.23948726419</v>
      </c>
      <c r="AY35" s="60">
        <v>940951.15219019272</v>
      </c>
      <c r="AZ35" s="60">
        <v>837003.02901796158</v>
      </c>
      <c r="BA35" s="60">
        <v>706338.41870591603</v>
      </c>
      <c r="BB35" s="60">
        <v>672364.90181701747</v>
      </c>
      <c r="BC35" s="60">
        <v>568618.43347647286</v>
      </c>
      <c r="BD35" s="60">
        <v>412643.44767862238</v>
      </c>
      <c r="BE35" s="60">
        <v>335876.79880439927</v>
      </c>
      <c r="BF35" s="60">
        <v>286407.06542033114</v>
      </c>
      <c r="BG35" s="60">
        <v>201115.76123076951</v>
      </c>
      <c r="BH35" s="60">
        <v>359232.15174740728</v>
      </c>
      <c r="BI35" s="60">
        <v>317290.07951187872</v>
      </c>
      <c r="BJ35" s="60">
        <v>431019.3354162554</v>
      </c>
      <c r="BK35" s="60">
        <v>596870.37440375576</v>
      </c>
      <c r="BL35" s="60">
        <v>903498.42587811989</v>
      </c>
      <c r="BM35" s="60">
        <v>841040.96759999997</v>
      </c>
      <c r="BN35" s="60">
        <v>755406.34533000004</v>
      </c>
      <c r="BO35" s="60">
        <v>876343.32730999996</v>
      </c>
      <c r="BP35" s="60">
        <v>1103332.6400778501</v>
      </c>
      <c r="BQ35" s="60">
        <v>1016213.8973</v>
      </c>
      <c r="BR35" s="60">
        <v>913979.96635000012</v>
      </c>
      <c r="BS35" s="60">
        <v>783201.79160000011</v>
      </c>
      <c r="BT35" s="60">
        <v>789681.27005000005</v>
      </c>
      <c r="BU35" s="60">
        <v>905979.11705000012</v>
      </c>
      <c r="BV35" s="60">
        <v>896549.37898581708</v>
      </c>
      <c r="BW35" s="60">
        <v>911566.51894785045</v>
      </c>
      <c r="BX35" s="60">
        <v>739625.21745162562</v>
      </c>
      <c r="BY35" s="60">
        <v>659216.87929584214</v>
      </c>
      <c r="BZ35" s="60">
        <v>599135.1169414327</v>
      </c>
      <c r="CA35" s="60">
        <v>537877.9863681097</v>
      </c>
      <c r="CB35" s="60">
        <v>472547.65248798399</v>
      </c>
      <c r="CE35" s="60">
        <f t="shared" ca="1" si="35"/>
        <v>326647.77499999997</v>
      </c>
      <c r="CF35" s="60">
        <f t="shared" ca="1" si="35"/>
        <v>330956.52501999994</v>
      </c>
      <c r="CG35" s="60">
        <f t="shared" ca="1" si="35"/>
        <v>705647.84499999997</v>
      </c>
      <c r="CH35" s="60">
        <f t="shared" ca="1" si="35"/>
        <v>786694.70780999993</v>
      </c>
      <c r="CI35" s="60">
        <f t="shared" ca="1" si="35"/>
        <v>935098</v>
      </c>
      <c r="CJ35" s="60">
        <f t="shared" ca="1" si="35"/>
        <v>1364273.0000000002</v>
      </c>
      <c r="CK35" s="60">
        <f t="shared" ca="1" si="35"/>
        <v>1238146.9181676998</v>
      </c>
      <c r="CL35" s="60">
        <f t="shared" ca="1" si="35"/>
        <v>1161875.1789708999</v>
      </c>
      <c r="CM35" s="60">
        <f t="shared" ca="1" si="35"/>
        <v>1060882.3682199998</v>
      </c>
      <c r="CN35" s="60">
        <f t="shared" ca="1" si="35"/>
        <v>1218363.475833643</v>
      </c>
      <c r="CO35" s="60">
        <f t="shared" ca="1" si="36"/>
        <v>1322687.0518613961</v>
      </c>
      <c r="CP35" s="60">
        <f t="shared" ca="1" si="36"/>
        <v>1654480.3166887856</v>
      </c>
      <c r="CQ35" s="60">
        <f t="shared" ca="1" si="36"/>
        <v>1530199.7386431987</v>
      </c>
      <c r="CR35" s="60">
        <f t="shared" ca="1" si="36"/>
        <v>1567688.371</v>
      </c>
      <c r="CS35" s="60">
        <f t="shared" ca="1" si="36"/>
        <v>2172462.9773198683</v>
      </c>
      <c r="CT35" s="60">
        <f t="shared" ca="1" si="36"/>
        <v>1645079.9233987788</v>
      </c>
      <c r="CU35" s="60">
        <f t="shared" ca="1" si="36"/>
        <v>1722116.4213769424</v>
      </c>
      <c r="CV35" s="60">
        <f t="shared" ca="1" si="36"/>
        <v>2025777.59726916</v>
      </c>
      <c r="CW35" s="60">
        <f t="shared" ca="1" si="36"/>
        <v>2087544.9709379491</v>
      </c>
      <c r="CX35" s="60">
        <f t="shared" ca="1" si="36"/>
        <v>2179746.9394053542</v>
      </c>
      <c r="CY35" s="60">
        <f t="shared" ca="1" si="37"/>
        <v>2239504.05438942</v>
      </c>
      <c r="CZ35" s="60">
        <f t="shared" ca="1" si="37"/>
        <v>2346961.6843989077</v>
      </c>
      <c r="DA35" s="60">
        <f t="shared" ca="1" si="37"/>
        <v>2255571.7650000001</v>
      </c>
      <c r="DB35" s="60">
        <f t="shared" ca="1" si="37"/>
        <v>1975630.0009999999</v>
      </c>
      <c r="DC35" s="60">
        <f t="shared" ca="1" si="37"/>
        <v>1719999.6793833801</v>
      </c>
      <c r="DD35" s="60">
        <f t="shared" ca="1" si="37"/>
        <v>1404603.81355255</v>
      </c>
      <c r="DE35" s="60">
        <f t="shared" ca="1" si="37"/>
        <v>1452989.52261667</v>
      </c>
      <c r="DF35" s="60">
        <f t="shared" ca="1" si="37"/>
        <v>1339073.5978989301</v>
      </c>
      <c r="DG35" s="60">
        <f t="shared" ca="1" si="37"/>
        <v>1478442.2476596599</v>
      </c>
      <c r="DH35" s="60">
        <f t="shared" ca="1" si="37"/>
        <v>1445747.5728060401</v>
      </c>
      <c r="DI35" s="60">
        <f t="shared" ca="1" si="38"/>
        <v>1213313.3961168046</v>
      </c>
      <c r="DJ35" s="60">
        <f t="shared" ca="1" si="38"/>
        <v>1153733.4568307605</v>
      </c>
      <c r="DK35" s="60">
        <f t="shared" ca="1" si="38"/>
        <v>1027032.573404578</v>
      </c>
      <c r="DL35" s="60">
        <f t="shared" ca="1" si="38"/>
        <v>882987.23948726419</v>
      </c>
      <c r="DM35" s="60">
        <f t="shared" ca="1" si="38"/>
        <v>940951.15219019272</v>
      </c>
      <c r="DN35" s="60">
        <f t="shared" ca="1" si="38"/>
        <v>837003.02901796158</v>
      </c>
      <c r="DO35" s="60">
        <f t="shared" ca="1" si="38"/>
        <v>672364.90181701747</v>
      </c>
      <c r="DP35" s="60">
        <f t="shared" ca="1" si="38"/>
        <v>568618.43347647286</v>
      </c>
      <c r="DQ35" s="60">
        <f t="shared" ca="1" si="38"/>
        <v>412643.44767862238</v>
      </c>
      <c r="DR35" s="60">
        <f t="shared" ca="1" si="38"/>
        <v>286407.06542033114</v>
      </c>
      <c r="DS35" s="60">
        <f t="shared" ca="1" si="39"/>
        <v>201115.76123076951</v>
      </c>
      <c r="DT35" s="60">
        <f t="shared" ca="1" si="39"/>
        <v>359232.15174740728</v>
      </c>
      <c r="DU35" s="60">
        <f t="shared" ca="1" si="39"/>
        <v>431019.3354162554</v>
      </c>
      <c r="DV35" s="60">
        <f t="shared" ca="1" si="39"/>
        <v>596870.37440375576</v>
      </c>
      <c r="DW35" s="60">
        <f t="shared" ca="1" si="39"/>
        <v>903498.42587811989</v>
      </c>
      <c r="DX35" s="60">
        <f t="shared" ca="1" si="39"/>
        <v>755406.34533000004</v>
      </c>
      <c r="DY35" s="60">
        <f t="shared" ca="1" si="39"/>
        <v>876343.32730999996</v>
      </c>
      <c r="DZ35" s="60">
        <f t="shared" ca="1" si="39"/>
        <v>1103332.6400778501</v>
      </c>
      <c r="EA35" s="60">
        <f t="shared" ca="1" si="39"/>
        <v>913979.96635000012</v>
      </c>
      <c r="EB35" s="60">
        <f t="shared" ca="1" si="39"/>
        <v>783201.79160000011</v>
      </c>
      <c r="EC35" s="60">
        <f t="shared" ca="1" si="40"/>
        <v>789681.27005000005</v>
      </c>
      <c r="ED35" s="60">
        <f t="shared" ca="1" si="40"/>
        <v>896549.37898581708</v>
      </c>
      <c r="EE35" s="60">
        <f t="shared" ca="1" si="40"/>
        <v>911566.51894785045</v>
      </c>
      <c r="EF35" s="60">
        <f t="shared" ca="1" si="40"/>
        <v>739625.21745162562</v>
      </c>
      <c r="EG35" s="60">
        <f t="shared" ca="1" si="40"/>
        <v>599135.1169414327</v>
      </c>
      <c r="EH35" s="60">
        <f t="shared" ca="1" si="40"/>
        <v>537877.9863681097</v>
      </c>
      <c r="EI35" s="60">
        <f t="shared" ca="1" si="40"/>
        <v>472547.65248798399</v>
      </c>
    </row>
    <row r="36" spans="1:139" x14ac:dyDescent="0.3">
      <c r="AB36" s="65"/>
      <c r="AC36" s="65"/>
      <c r="AD36" s="65"/>
      <c r="AE36" s="65"/>
      <c r="AF36" s="73"/>
      <c r="AG36" s="76"/>
      <c r="AH36" s="73"/>
      <c r="AI36" s="73"/>
      <c r="AJ36" s="73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  <c r="CB36" s="97"/>
    </row>
    <row r="37" spans="1:139" x14ac:dyDescent="0.3">
      <c r="AF37" s="72"/>
      <c r="AG37" s="74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</row>
    <row r="38" spans="1:139" s="64" customFormat="1" ht="16.2" thickBot="1" x14ac:dyDescent="0.35">
      <c r="A38" s="71"/>
      <c r="B38" s="154" t="s">
        <v>116</v>
      </c>
      <c r="C38" s="154" t="s">
        <v>116</v>
      </c>
      <c r="D38" s="154" t="str">
        <f>IF(Menu!$D$12="PT",B38,C38)</f>
        <v>Landbank</v>
      </c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62"/>
      <c r="AG38" s="163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  <c r="BQ38" s="162"/>
      <c r="BR38" s="162"/>
      <c r="BS38" s="162"/>
      <c r="BT38" s="162"/>
      <c r="BU38" s="162"/>
      <c r="BV38" s="162"/>
      <c r="BW38" s="162"/>
      <c r="BX38" s="162"/>
      <c r="BY38" s="162"/>
      <c r="BZ38" s="162"/>
      <c r="CA38" s="162"/>
      <c r="CB38" s="162"/>
      <c r="CE38" s="155"/>
      <c r="CF38" s="155"/>
      <c r="CG38" s="155"/>
      <c r="CH38" s="155"/>
      <c r="CI38" s="155"/>
      <c r="CJ38" s="155"/>
      <c r="CK38" s="155"/>
      <c r="CL38" s="155"/>
      <c r="CM38" s="155"/>
      <c r="CN38" s="155"/>
      <c r="CO38" s="155"/>
      <c r="CP38" s="155"/>
      <c r="CQ38" s="155"/>
      <c r="CR38" s="155"/>
      <c r="CS38" s="155"/>
      <c r="CT38" s="155"/>
      <c r="CU38" s="155"/>
      <c r="CV38" s="155"/>
      <c r="CW38" s="155"/>
      <c r="CX38" s="155"/>
      <c r="CY38" s="155"/>
      <c r="CZ38" s="155"/>
      <c r="DA38" s="155"/>
      <c r="DB38" s="155"/>
      <c r="DC38" s="155"/>
      <c r="DD38" s="155"/>
      <c r="DE38" s="155"/>
      <c r="DF38" s="155"/>
      <c r="DG38" s="155"/>
      <c r="DH38" s="155"/>
      <c r="DI38" s="155"/>
      <c r="DJ38" s="155"/>
      <c r="DK38" s="155"/>
      <c r="DL38" s="155"/>
      <c r="DM38" s="155"/>
      <c r="DN38" s="155"/>
      <c r="DO38" s="155"/>
      <c r="DP38" s="155"/>
      <c r="DQ38" s="155"/>
      <c r="DR38" s="155"/>
      <c r="DS38" s="155"/>
      <c r="DT38" s="155"/>
      <c r="DU38" s="155"/>
      <c r="DV38" s="155"/>
      <c r="DW38" s="155"/>
      <c r="DX38" s="155"/>
      <c r="DY38" s="155"/>
      <c r="DZ38" s="155"/>
      <c r="EA38" s="155"/>
      <c r="EB38" s="155"/>
      <c r="EC38" s="155"/>
      <c r="ED38" s="155"/>
      <c r="EE38" s="155"/>
      <c r="EF38" s="155"/>
      <c r="EG38" s="155"/>
      <c r="EH38" s="155"/>
      <c r="EI38" s="155"/>
    </row>
    <row r="39" spans="1:139" x14ac:dyDescent="0.3">
      <c r="AF39" s="72"/>
      <c r="AG39" s="74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</row>
    <row r="40" spans="1:139" x14ac:dyDescent="0.3">
      <c r="B40" s="63" t="s">
        <v>115</v>
      </c>
      <c r="C40" s="133" t="s">
        <v>528</v>
      </c>
      <c r="D40" s="133" t="str">
        <f>IF(Menu!$D$12="PT",B40,C40)</f>
        <v>Landbank (R$ milhões) - 100%</v>
      </c>
      <c r="E40" s="61">
        <v>1962.4140782633333</v>
      </c>
      <c r="F40" s="61">
        <v>7176.7153645053477</v>
      </c>
      <c r="G40" s="61">
        <v>8041.910935505879</v>
      </c>
      <c r="H40" s="61">
        <v>7969.259023839214</v>
      </c>
      <c r="I40" s="61">
        <v>8944.9191538392133</v>
      </c>
      <c r="J40" s="61">
        <v>8940.7837118768148</v>
      </c>
      <c r="K40" s="61">
        <v>8776.6980752610143</v>
      </c>
      <c r="L40" s="61">
        <v>7956.9817245501144</v>
      </c>
      <c r="M40" s="61">
        <v>7734.0153738392146</v>
      </c>
      <c r="N40" s="61">
        <v>7626.9105161720145</v>
      </c>
      <c r="O40" s="61">
        <v>7905.0193104620157</v>
      </c>
      <c r="P40" s="61">
        <v>9066.8600250902018</v>
      </c>
      <c r="Q40" s="61">
        <v>9799.1757629679742</v>
      </c>
      <c r="R40" s="61">
        <v>10699.70656842949</v>
      </c>
      <c r="S40" s="61">
        <v>11145.880102885531</v>
      </c>
      <c r="T40" s="61">
        <v>10410.150853685594</v>
      </c>
      <c r="U40" s="61">
        <v>10360.451248653799</v>
      </c>
      <c r="V40" s="61">
        <v>10512.490274581303</v>
      </c>
      <c r="W40" s="61">
        <v>11234.957867211639</v>
      </c>
      <c r="X40" s="61">
        <v>10521.290682278866</v>
      </c>
      <c r="Y40" s="61">
        <v>10161.290231976373</v>
      </c>
      <c r="Z40" s="61">
        <v>10263.950000000001</v>
      </c>
      <c r="AA40" s="61">
        <v>9875.6751303513174</v>
      </c>
      <c r="AB40" s="61">
        <v>9832.4950245264481</v>
      </c>
      <c r="AC40" s="61">
        <v>9208.3178517615306</v>
      </c>
      <c r="AD40" s="61">
        <v>8816.2393407117306</v>
      </c>
      <c r="AE40" s="61">
        <v>8970.4140000000007</v>
      </c>
      <c r="AF40" s="61">
        <v>8704</v>
      </c>
      <c r="AG40" s="61">
        <v>9342.0715990298686</v>
      </c>
      <c r="AH40" s="61">
        <v>8414.4733403314622</v>
      </c>
      <c r="AI40" s="82">
        <v>8892.9351890906437</v>
      </c>
      <c r="AJ40" s="61">
        <v>8970.1840918783037</v>
      </c>
      <c r="AK40" s="61">
        <v>8915.1053190765597</v>
      </c>
      <c r="AL40" s="61">
        <v>9021.3671119284973</v>
      </c>
      <c r="AM40" s="61">
        <v>8788.8113828495516</v>
      </c>
      <c r="AN40" s="61">
        <v>8791.2277666587979</v>
      </c>
      <c r="AO40" s="61">
        <v>8791.7006943456181</v>
      </c>
      <c r="AP40" s="61">
        <v>8699.7157326771903</v>
      </c>
      <c r="AQ40" s="61">
        <v>8478.3264066380507</v>
      </c>
      <c r="AR40" s="61">
        <v>8045.8379013326467</v>
      </c>
      <c r="AS40" s="61">
        <v>8045.8379013326467</v>
      </c>
      <c r="AT40" s="102">
        <v>7423.2894813326438</v>
      </c>
      <c r="AU40" s="61">
        <v>7415.1687413326435</v>
      </c>
      <c r="AV40" s="61">
        <v>7240.4864453326418</v>
      </c>
      <c r="AW40" s="61">
        <v>7102.3107086329865</v>
      </c>
      <c r="AX40" s="61">
        <v>6837.5456235029487</v>
      </c>
      <c r="AY40" s="61">
        <v>6768.042740647672</v>
      </c>
      <c r="AZ40" s="61">
        <v>6659.076913927559</v>
      </c>
      <c r="BA40" s="61">
        <v>6257.9599339275592</v>
      </c>
      <c r="BB40" s="61">
        <v>5967.3156939275596</v>
      </c>
      <c r="BC40" s="61">
        <v>5980.5854139275598</v>
      </c>
      <c r="BD40" s="61">
        <v>5865.3573068677724</v>
      </c>
      <c r="BE40" s="61">
        <v>6185.2577179702448</v>
      </c>
      <c r="BF40" s="61">
        <v>6305.4856923966436</v>
      </c>
      <c r="BG40" s="102">
        <v>6749.4595662351267</v>
      </c>
      <c r="BH40" s="61">
        <v>7886.1472971315698</v>
      </c>
      <c r="BI40" s="61">
        <v>8175.3317468799414</v>
      </c>
      <c r="BJ40" s="61">
        <v>8260.9357502531166</v>
      </c>
      <c r="BK40" s="61">
        <v>8269.6771519846534</v>
      </c>
      <c r="BL40" s="61">
        <v>7595.4698544460853</v>
      </c>
      <c r="BM40" s="61">
        <v>7600.600888257216</v>
      </c>
      <c r="BN40" s="61">
        <v>7528.1432875519386</v>
      </c>
      <c r="BO40" s="61">
        <v>6934.3510956899663</v>
      </c>
      <c r="BP40" s="61">
        <v>6586.4583915694511</v>
      </c>
      <c r="BQ40" s="61">
        <v>6667.2026124390168</v>
      </c>
      <c r="BR40" s="61">
        <v>6669.8631877862763</v>
      </c>
      <c r="BS40" s="61">
        <v>6682.9987100883482</v>
      </c>
      <c r="BT40" s="61">
        <v>6509.0957344894259</v>
      </c>
      <c r="BU40" s="61">
        <v>6052.7368728494266</v>
      </c>
      <c r="BV40" s="61">
        <v>5333.0941984894262</v>
      </c>
      <c r="BW40" s="61">
        <v>4816.6176684894253</v>
      </c>
      <c r="BX40" s="61">
        <v>5054.7331410376164</v>
      </c>
      <c r="BY40" s="61">
        <v>4867.5870450869179</v>
      </c>
      <c r="BZ40" s="61">
        <v>4867.5870450869188</v>
      </c>
      <c r="CA40" s="61">
        <v>4739.2356850869182</v>
      </c>
      <c r="CB40" s="61">
        <v>4739.2356850869182</v>
      </c>
      <c r="CE40" s="102">
        <f t="shared" ref="CE40:CN41" ca="1" si="41">INDIRECT(ADDRESS(ROW(),MATCH(IF(LEFT(CE$2,2)="1S","2T",IF(LEFT(CE$2,2)="9M","3T","4T"))&amp;RIGHT(CE$2,2),$2:$2,0)))</f>
        <v>7176.7153645053477</v>
      </c>
      <c r="CF40" s="102">
        <f t="shared" ca="1" si="41"/>
        <v>8041.910935505879</v>
      </c>
      <c r="CG40" s="102">
        <f t="shared" ca="1" si="41"/>
        <v>7969.259023839214</v>
      </c>
      <c r="CH40" s="102">
        <f t="shared" ca="1" si="41"/>
        <v>8940.7837118768148</v>
      </c>
      <c r="CI40" s="102">
        <f t="shared" ca="1" si="41"/>
        <v>8776.6980752610143</v>
      </c>
      <c r="CJ40" s="102">
        <f t="shared" ca="1" si="41"/>
        <v>7956.9817245501144</v>
      </c>
      <c r="CK40" s="102">
        <f t="shared" ca="1" si="41"/>
        <v>7626.9105161720145</v>
      </c>
      <c r="CL40" s="102">
        <f t="shared" ca="1" si="41"/>
        <v>7905.0193104620157</v>
      </c>
      <c r="CM40" s="102">
        <f t="shared" ca="1" si="41"/>
        <v>9066.8600250902018</v>
      </c>
      <c r="CN40" s="102">
        <f t="shared" ca="1" si="41"/>
        <v>10699.70656842949</v>
      </c>
      <c r="CO40" s="102">
        <f t="shared" ref="CO40:CX41" ca="1" si="42">INDIRECT(ADDRESS(ROW(),MATCH(IF(LEFT(CO$2,2)="1S","2T",IF(LEFT(CO$2,2)="9M","3T","4T"))&amp;RIGHT(CO$2,2),$2:$2,0)))</f>
        <v>11145.880102885531</v>
      </c>
      <c r="CP40" s="102">
        <f t="shared" ca="1" si="42"/>
        <v>10410.150853685594</v>
      </c>
      <c r="CQ40" s="102">
        <f t="shared" ca="1" si="42"/>
        <v>10512.490274581303</v>
      </c>
      <c r="CR40" s="102">
        <f t="shared" ca="1" si="42"/>
        <v>11234.957867211639</v>
      </c>
      <c r="CS40" s="102">
        <f t="shared" ca="1" si="42"/>
        <v>10521.290682278866</v>
      </c>
      <c r="CT40" s="102">
        <f t="shared" ca="1" si="42"/>
        <v>10263.950000000001</v>
      </c>
      <c r="CU40" s="102">
        <f t="shared" ca="1" si="42"/>
        <v>9875.6751303513174</v>
      </c>
      <c r="CV40" s="102">
        <f t="shared" ca="1" si="42"/>
        <v>9832.4950245264481</v>
      </c>
      <c r="CW40" s="102">
        <f t="shared" ca="1" si="42"/>
        <v>8816.2393407117306</v>
      </c>
      <c r="CX40" s="102">
        <f t="shared" ca="1" si="42"/>
        <v>8970.4140000000007</v>
      </c>
      <c r="CY40" s="102">
        <f t="shared" ref="CY40:DH41" ca="1" si="43">INDIRECT(ADDRESS(ROW(),MATCH(IF(LEFT(CY$2,2)="1S","2T",IF(LEFT(CY$2,2)="9M","3T","4T"))&amp;RIGHT(CY$2,2),$2:$2,0)))</f>
        <v>8704</v>
      </c>
      <c r="CZ40" s="102">
        <f t="shared" ca="1" si="43"/>
        <v>8414.4733403314622</v>
      </c>
      <c r="DA40" s="102">
        <f t="shared" ca="1" si="43"/>
        <v>8892.9351890906437</v>
      </c>
      <c r="DB40" s="102">
        <f t="shared" ca="1" si="43"/>
        <v>8970.1840918783037</v>
      </c>
      <c r="DC40" s="102">
        <f t="shared" ca="1" si="43"/>
        <v>9021.3671119284973</v>
      </c>
      <c r="DD40" s="102">
        <f t="shared" ca="1" si="43"/>
        <v>8788.8113828495516</v>
      </c>
      <c r="DE40" s="102">
        <f t="shared" ca="1" si="43"/>
        <v>8791.2277666587979</v>
      </c>
      <c r="DF40" s="102">
        <f t="shared" ca="1" si="43"/>
        <v>8699.7157326771903</v>
      </c>
      <c r="DG40" s="102">
        <f t="shared" ca="1" si="43"/>
        <v>8478.3264066380507</v>
      </c>
      <c r="DH40" s="102">
        <f t="shared" ca="1" si="43"/>
        <v>8045.8379013326467</v>
      </c>
      <c r="DI40" s="102">
        <f t="shared" ref="DI40:DR41" ca="1" si="44">INDIRECT(ADDRESS(ROW(),MATCH(IF(LEFT(DI$2,2)="1S","2T",IF(LEFT(DI$2,2)="9M","3T","4T"))&amp;RIGHT(DI$2,2),$2:$2,0)))</f>
        <v>7423.2894813326438</v>
      </c>
      <c r="DJ40" s="102">
        <f t="shared" ca="1" si="44"/>
        <v>7415.1687413326435</v>
      </c>
      <c r="DK40" s="102">
        <f t="shared" ca="1" si="44"/>
        <v>7240.4864453326418</v>
      </c>
      <c r="DL40" s="102">
        <f t="shared" ca="1" si="44"/>
        <v>6837.5456235029487</v>
      </c>
      <c r="DM40" s="102">
        <f t="shared" ca="1" si="44"/>
        <v>6768.042740647672</v>
      </c>
      <c r="DN40" s="102">
        <f t="shared" ca="1" si="44"/>
        <v>6659.076913927559</v>
      </c>
      <c r="DO40" s="102">
        <f t="shared" ca="1" si="44"/>
        <v>5967.3156939275596</v>
      </c>
      <c r="DP40" s="102">
        <f t="shared" ca="1" si="44"/>
        <v>5980.5854139275598</v>
      </c>
      <c r="DQ40" s="102">
        <f t="shared" ca="1" si="44"/>
        <v>5865.3573068677724</v>
      </c>
      <c r="DR40" s="102">
        <f t="shared" ca="1" si="44"/>
        <v>6305.4856923966436</v>
      </c>
      <c r="DS40" s="102">
        <f t="shared" ref="DS40:EB41" ca="1" si="45">INDIRECT(ADDRESS(ROW(),MATCH(IF(LEFT(DS$2,2)="1S","2T",IF(LEFT(DS$2,2)="9M","3T","4T"))&amp;RIGHT(DS$2,2),$2:$2,0)))</f>
        <v>6749.4595662351267</v>
      </c>
      <c r="DT40" s="102">
        <f t="shared" ca="1" si="45"/>
        <v>7886.1472971315698</v>
      </c>
      <c r="DU40" s="102">
        <f t="shared" ca="1" si="45"/>
        <v>8260.9357502531166</v>
      </c>
      <c r="DV40" s="102">
        <f t="shared" ca="1" si="45"/>
        <v>8269.6771519846534</v>
      </c>
      <c r="DW40" s="102">
        <f t="shared" ca="1" si="45"/>
        <v>7595.4698544460853</v>
      </c>
      <c r="DX40" s="102">
        <f t="shared" ca="1" si="45"/>
        <v>7528.1432875519386</v>
      </c>
      <c r="DY40" s="102">
        <f t="shared" ca="1" si="45"/>
        <v>6934.3510956899663</v>
      </c>
      <c r="DZ40" s="102">
        <f t="shared" ca="1" si="45"/>
        <v>6586.4583915694511</v>
      </c>
      <c r="EA40" s="102">
        <f t="shared" ca="1" si="45"/>
        <v>6669.8631877862763</v>
      </c>
      <c r="EB40" s="102">
        <f t="shared" ca="1" si="45"/>
        <v>6682.9987100883482</v>
      </c>
      <c r="EC40" s="102">
        <f t="shared" ref="EC40:EI41" ca="1" si="46">INDIRECT(ADDRESS(ROW(),MATCH(IF(LEFT(EC$2,2)="1S","2T",IF(LEFT(EC$2,2)="9M","3T","4T"))&amp;RIGHT(EC$2,2),$2:$2,0)))</f>
        <v>6509.0957344894259</v>
      </c>
      <c r="ED40" s="102">
        <f t="shared" ca="1" si="46"/>
        <v>5333.0941984894262</v>
      </c>
      <c r="EE40" s="102">
        <f t="shared" ca="1" si="46"/>
        <v>4816.6176684894253</v>
      </c>
      <c r="EF40" s="102">
        <f t="shared" ca="1" si="46"/>
        <v>5054.7331410376164</v>
      </c>
      <c r="EG40" s="102">
        <f t="shared" ca="1" si="46"/>
        <v>4867.5870450869188</v>
      </c>
      <c r="EH40" s="102">
        <f t="shared" ca="1" si="46"/>
        <v>4739.2356850869182</v>
      </c>
      <c r="EI40" s="102">
        <f t="shared" ca="1" si="46"/>
        <v>4739.2356850869182</v>
      </c>
    </row>
    <row r="41" spans="1:139" x14ac:dyDescent="0.3">
      <c r="B41" s="63" t="s">
        <v>114</v>
      </c>
      <c r="C41" s="133" t="s">
        <v>529</v>
      </c>
      <c r="D41" s="133" t="str">
        <f>IF(Menu!$D$12="PT",B41,C41)</f>
        <v>Landbank (R$ milhões) - % TECNISA</v>
      </c>
      <c r="E41" s="61">
        <v>1465.5881984824994</v>
      </c>
      <c r="F41" s="61">
        <v>5246.2322502106526</v>
      </c>
      <c r="G41" s="61">
        <v>6137.3694878778506</v>
      </c>
      <c r="H41" s="61">
        <v>6130.0015588778488</v>
      </c>
      <c r="I41" s="61">
        <v>6472.1790913778486</v>
      </c>
      <c r="J41" s="61">
        <v>6395.9789479936489</v>
      </c>
      <c r="K41" s="61">
        <v>6269.6883113778513</v>
      </c>
      <c r="L41" s="61">
        <v>5623.2383113778524</v>
      </c>
      <c r="M41" s="61">
        <v>5441.0783113778525</v>
      </c>
      <c r="N41" s="61">
        <v>5361.9334537106515</v>
      </c>
      <c r="O41" s="61">
        <v>5446.7327642121509</v>
      </c>
      <c r="P41" s="61">
        <v>6523.2592028899307</v>
      </c>
      <c r="Q41" s="61">
        <v>7279.2660291677021</v>
      </c>
      <c r="R41" s="61">
        <v>8160.7463945484642</v>
      </c>
      <c r="S41" s="61">
        <v>8583.5764169833055</v>
      </c>
      <c r="T41" s="61">
        <v>8054.7323636022629</v>
      </c>
      <c r="U41" s="61">
        <v>8036.0760203664631</v>
      </c>
      <c r="V41" s="61">
        <v>8214.1510318865712</v>
      </c>
      <c r="W41" s="61">
        <v>8965.945179610555</v>
      </c>
      <c r="X41" s="61">
        <v>8480.5956851276023</v>
      </c>
      <c r="Y41" s="61">
        <v>8164.5113237139994</v>
      </c>
      <c r="Z41" s="61">
        <v>7916.7310183510463</v>
      </c>
      <c r="AA41" s="61">
        <v>7870.8165261416307</v>
      </c>
      <c r="AB41" s="61">
        <v>7729.6921074119464</v>
      </c>
      <c r="AC41" s="61">
        <v>7274.8266767645209</v>
      </c>
      <c r="AD41" s="61">
        <v>7103.3778783565758</v>
      </c>
      <c r="AE41" s="61">
        <v>7193.42</v>
      </c>
      <c r="AF41" s="61">
        <v>6863</v>
      </c>
      <c r="AG41" s="61">
        <v>7603.5728501703434</v>
      </c>
      <c r="AH41" s="61">
        <v>6770.0816458789132</v>
      </c>
      <c r="AI41" s="82">
        <v>7146.3316831789198</v>
      </c>
      <c r="AJ41" s="61">
        <v>7232.4798362943029</v>
      </c>
      <c r="AK41" s="61">
        <v>7265.6722109890052</v>
      </c>
      <c r="AL41" s="61">
        <v>7306.1108599599584</v>
      </c>
      <c r="AM41" s="61">
        <v>6510.4047046925498</v>
      </c>
      <c r="AN41" s="61">
        <v>6508.2861021489234</v>
      </c>
      <c r="AO41" s="61">
        <v>6508.5580355688453</v>
      </c>
      <c r="AP41" s="61">
        <v>6439.1093895091835</v>
      </c>
      <c r="AQ41" s="61">
        <v>6240.3719259700447</v>
      </c>
      <c r="AR41" s="61">
        <v>5802.5191005064771</v>
      </c>
      <c r="AS41" s="61">
        <v>5802.5191005064771</v>
      </c>
      <c r="AT41" s="102">
        <v>5223.6674805064758</v>
      </c>
      <c r="AU41" s="61">
        <v>5241.5758605064766</v>
      </c>
      <c r="AV41" s="61">
        <v>5066.8935645064757</v>
      </c>
      <c r="AW41" s="61">
        <v>4952.7911327597058</v>
      </c>
      <c r="AX41" s="61">
        <v>4622.828458809935</v>
      </c>
      <c r="AY41" s="61">
        <v>4642.2673685636573</v>
      </c>
      <c r="AZ41" s="61">
        <v>4320.6663572345433</v>
      </c>
      <c r="BA41" s="61">
        <v>3919.549377234543</v>
      </c>
      <c r="BB41" s="61">
        <v>3861.4205292345432</v>
      </c>
      <c r="BC41" s="61">
        <v>3864.0744732345429</v>
      </c>
      <c r="BD41" s="61">
        <v>3885.5773213747566</v>
      </c>
      <c r="BE41" s="61">
        <v>4154.5612284772296</v>
      </c>
      <c r="BF41" s="61">
        <v>4241.7041131366286</v>
      </c>
      <c r="BG41" s="102">
        <v>4629.2815808151099</v>
      </c>
      <c r="BH41" s="61">
        <v>5271.7446562112818</v>
      </c>
      <c r="BI41" s="61">
        <v>5539.683484531849</v>
      </c>
      <c r="BJ41" s="61">
        <v>5566.8686426085897</v>
      </c>
      <c r="BK41" s="61">
        <v>5459.3323310148562</v>
      </c>
      <c r="BL41" s="61">
        <v>5010.4957644939159</v>
      </c>
      <c r="BM41" s="61">
        <v>5034.003507315585</v>
      </c>
      <c r="BN41" s="61">
        <v>4989.8355691457718</v>
      </c>
      <c r="BO41" s="61">
        <v>4642.9423089451338</v>
      </c>
      <c r="BP41" s="61">
        <v>4262.0262988919812</v>
      </c>
      <c r="BQ41" s="61">
        <v>4308.4542258919819</v>
      </c>
      <c r="BR41" s="61">
        <v>4309.9489161088059</v>
      </c>
      <c r="BS41" s="61">
        <v>4317.5940334108773</v>
      </c>
      <c r="BT41" s="61">
        <v>4130.9215630619556</v>
      </c>
      <c r="BU41" s="61">
        <v>3500.2780660009562</v>
      </c>
      <c r="BV41" s="61">
        <v>2820.7709620619562</v>
      </c>
      <c r="BW41" s="61">
        <v>2669.5878888119564</v>
      </c>
      <c r="BX41" s="61">
        <v>2757.4421542750338</v>
      </c>
      <c r="BY41" s="61">
        <v>2716.5616408901865</v>
      </c>
      <c r="BZ41" s="61">
        <v>2716.5616408901865</v>
      </c>
      <c r="CA41" s="61">
        <v>2625.3012808901867</v>
      </c>
      <c r="CB41" s="61">
        <v>2626.6281873955522</v>
      </c>
      <c r="CE41" s="102">
        <f t="shared" ca="1" si="41"/>
        <v>5246.2322502106526</v>
      </c>
      <c r="CF41" s="102">
        <f t="shared" ca="1" si="41"/>
        <v>6137.3694878778506</v>
      </c>
      <c r="CG41" s="102">
        <f t="shared" ca="1" si="41"/>
        <v>6130.0015588778488</v>
      </c>
      <c r="CH41" s="102">
        <f t="shared" ca="1" si="41"/>
        <v>6395.9789479936489</v>
      </c>
      <c r="CI41" s="102">
        <f t="shared" ca="1" si="41"/>
        <v>6269.6883113778513</v>
      </c>
      <c r="CJ41" s="102">
        <f t="shared" ca="1" si="41"/>
        <v>5623.2383113778524</v>
      </c>
      <c r="CK41" s="102">
        <f t="shared" ca="1" si="41"/>
        <v>5361.9334537106515</v>
      </c>
      <c r="CL41" s="102">
        <f t="shared" ca="1" si="41"/>
        <v>5446.7327642121509</v>
      </c>
      <c r="CM41" s="102">
        <f t="shared" ca="1" si="41"/>
        <v>6523.2592028899307</v>
      </c>
      <c r="CN41" s="102">
        <f t="shared" ca="1" si="41"/>
        <v>8160.7463945484642</v>
      </c>
      <c r="CO41" s="102">
        <f t="shared" ca="1" si="42"/>
        <v>8583.5764169833055</v>
      </c>
      <c r="CP41" s="102">
        <f t="shared" ca="1" si="42"/>
        <v>8054.7323636022629</v>
      </c>
      <c r="CQ41" s="102">
        <f t="shared" ca="1" si="42"/>
        <v>8214.1510318865712</v>
      </c>
      <c r="CR41" s="102">
        <f t="shared" ca="1" si="42"/>
        <v>8965.945179610555</v>
      </c>
      <c r="CS41" s="102">
        <f t="shared" ca="1" si="42"/>
        <v>8480.5956851276023</v>
      </c>
      <c r="CT41" s="102">
        <f t="shared" ca="1" si="42"/>
        <v>7916.7310183510463</v>
      </c>
      <c r="CU41" s="102">
        <f t="shared" ca="1" si="42"/>
        <v>7870.8165261416307</v>
      </c>
      <c r="CV41" s="102">
        <f t="shared" ca="1" si="42"/>
        <v>7729.6921074119464</v>
      </c>
      <c r="CW41" s="102">
        <f t="shared" ca="1" si="42"/>
        <v>7103.3778783565758</v>
      </c>
      <c r="CX41" s="102">
        <f t="shared" ca="1" si="42"/>
        <v>7193.42</v>
      </c>
      <c r="CY41" s="102">
        <f t="shared" ca="1" si="43"/>
        <v>6863</v>
      </c>
      <c r="CZ41" s="102">
        <f t="shared" ca="1" si="43"/>
        <v>6770.0816458789132</v>
      </c>
      <c r="DA41" s="102">
        <f t="shared" ca="1" si="43"/>
        <v>7146.3316831789198</v>
      </c>
      <c r="DB41" s="102">
        <f t="shared" ca="1" si="43"/>
        <v>7232.4798362943029</v>
      </c>
      <c r="DC41" s="102">
        <f t="shared" ca="1" si="43"/>
        <v>7306.1108599599584</v>
      </c>
      <c r="DD41" s="102">
        <f t="shared" ca="1" si="43"/>
        <v>6510.4047046925498</v>
      </c>
      <c r="DE41" s="102">
        <f t="shared" ca="1" si="43"/>
        <v>6508.2861021489234</v>
      </c>
      <c r="DF41" s="102">
        <f t="shared" ca="1" si="43"/>
        <v>6439.1093895091835</v>
      </c>
      <c r="DG41" s="102">
        <f t="shared" ca="1" si="43"/>
        <v>6240.3719259700447</v>
      </c>
      <c r="DH41" s="102">
        <f t="shared" ca="1" si="43"/>
        <v>5802.5191005064771</v>
      </c>
      <c r="DI41" s="102">
        <f t="shared" ca="1" si="44"/>
        <v>5223.6674805064758</v>
      </c>
      <c r="DJ41" s="102">
        <f t="shared" ca="1" si="44"/>
        <v>5241.5758605064766</v>
      </c>
      <c r="DK41" s="102">
        <f t="shared" ca="1" si="44"/>
        <v>5066.8935645064757</v>
      </c>
      <c r="DL41" s="102">
        <f t="shared" ca="1" si="44"/>
        <v>4622.828458809935</v>
      </c>
      <c r="DM41" s="102">
        <f t="shared" ca="1" si="44"/>
        <v>4642.2673685636573</v>
      </c>
      <c r="DN41" s="102">
        <f t="shared" ca="1" si="44"/>
        <v>4320.6663572345433</v>
      </c>
      <c r="DO41" s="102">
        <f t="shared" ca="1" si="44"/>
        <v>3861.4205292345432</v>
      </c>
      <c r="DP41" s="102">
        <f t="shared" ca="1" si="44"/>
        <v>3864.0744732345429</v>
      </c>
      <c r="DQ41" s="102">
        <f t="shared" ca="1" si="44"/>
        <v>3885.5773213747566</v>
      </c>
      <c r="DR41" s="102">
        <f t="shared" ca="1" si="44"/>
        <v>4241.7041131366286</v>
      </c>
      <c r="DS41" s="102">
        <f t="shared" ca="1" si="45"/>
        <v>4629.2815808151099</v>
      </c>
      <c r="DT41" s="102">
        <f t="shared" ca="1" si="45"/>
        <v>5271.7446562112818</v>
      </c>
      <c r="DU41" s="102">
        <f t="shared" ca="1" si="45"/>
        <v>5566.8686426085897</v>
      </c>
      <c r="DV41" s="102">
        <f t="shared" ca="1" si="45"/>
        <v>5459.3323310148562</v>
      </c>
      <c r="DW41" s="102">
        <f t="shared" ca="1" si="45"/>
        <v>5010.4957644939159</v>
      </c>
      <c r="DX41" s="102">
        <f t="shared" ca="1" si="45"/>
        <v>4989.8355691457718</v>
      </c>
      <c r="DY41" s="102">
        <f t="shared" ca="1" si="45"/>
        <v>4642.9423089451338</v>
      </c>
      <c r="DZ41" s="102">
        <f t="shared" ca="1" si="45"/>
        <v>4262.0262988919812</v>
      </c>
      <c r="EA41" s="102">
        <f t="shared" ca="1" si="45"/>
        <v>4309.9489161088059</v>
      </c>
      <c r="EB41" s="102">
        <f t="shared" ca="1" si="45"/>
        <v>4317.5940334108773</v>
      </c>
      <c r="EC41" s="102">
        <f t="shared" ca="1" si="46"/>
        <v>4130.9215630619556</v>
      </c>
      <c r="ED41" s="102">
        <f t="shared" ca="1" si="46"/>
        <v>2820.7709620619562</v>
      </c>
      <c r="EE41" s="102">
        <f t="shared" ca="1" si="46"/>
        <v>2669.5878888119564</v>
      </c>
      <c r="EF41" s="102">
        <f t="shared" ca="1" si="46"/>
        <v>2757.4421542750338</v>
      </c>
      <c r="EG41" s="102">
        <f t="shared" ca="1" si="46"/>
        <v>2716.5616408901865</v>
      </c>
      <c r="EH41" s="102">
        <f t="shared" ca="1" si="46"/>
        <v>2625.3012808901867</v>
      </c>
      <c r="EI41" s="102">
        <f t="shared" ca="1" si="46"/>
        <v>2626.6281873955522</v>
      </c>
    </row>
  </sheetData>
  <pageMargins left="0.511811024" right="0.511811024" top="0.78740157499999996" bottom="0.78740157499999996" header="0.31496062000000002" footer="0.31496062000000002"/>
  <pageSetup orientation="portrait" verticalDpi="4294967295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P207"/>
  <sheetViews>
    <sheetView showGridLines="0" zoomScaleNormal="100" workbookViewId="0">
      <pane xSplit="3" ySplit="3" topLeftCell="D174" activePane="bottomRight" state="frozen"/>
      <selection activeCell="K177" sqref="K177"/>
      <selection pane="topRight" activeCell="K177" sqref="K177"/>
      <selection pane="bottomLeft" activeCell="K177" sqref="K177"/>
      <selection pane="bottomRight" activeCell="D192" sqref="D192"/>
    </sheetView>
  </sheetViews>
  <sheetFormatPr defaultColWidth="1.77734375" defaultRowHeight="13.8" x14ac:dyDescent="0.3"/>
  <cols>
    <col min="1" max="1" width="17.5546875" style="140" customWidth="1"/>
    <col min="2" max="2" width="10.5546875" style="141" customWidth="1"/>
    <col min="3" max="3" width="9.44140625" style="211" bestFit="1" customWidth="1"/>
    <col min="4" max="4" width="32.21875" style="142" bestFit="1" customWidth="1"/>
    <col min="5" max="5" width="21" style="142" bestFit="1" customWidth="1"/>
    <col min="6" max="6" width="6.21875" style="140" bestFit="1" customWidth="1"/>
    <col min="7" max="7" width="9.21875" style="143" bestFit="1" customWidth="1"/>
    <col min="8" max="8" width="10.21875" style="144" bestFit="1" customWidth="1"/>
    <col min="9" max="9" width="15.44140625" style="145" bestFit="1" customWidth="1"/>
    <col min="10" max="10" width="17.21875" style="145" bestFit="1" customWidth="1"/>
    <col min="11" max="11" width="10.5546875" style="143" bestFit="1" customWidth="1"/>
    <col min="12" max="12" width="19.21875" style="207" customWidth="1"/>
    <col min="13" max="13" width="32.44140625" style="213" bestFit="1" customWidth="1"/>
    <col min="14" max="14" width="31.5546875" style="213" bestFit="1" customWidth="1"/>
    <col min="15" max="15" width="16.77734375" style="215" bestFit="1" customWidth="1"/>
    <col min="16" max="16" width="23.5546875" style="142" bestFit="1" customWidth="1"/>
    <col min="17" max="16384" width="1.77734375" style="142"/>
  </cols>
  <sheetData>
    <row r="1" spans="1:16" ht="63.75" customHeight="1" x14ac:dyDescent="0.3"/>
    <row r="2" spans="1:16" s="226" customFormat="1" ht="25.05" customHeight="1" x14ac:dyDescent="0.3">
      <c r="A2" s="223" t="s">
        <v>668</v>
      </c>
      <c r="B2" s="224" t="s">
        <v>275</v>
      </c>
      <c r="C2" s="225" t="s">
        <v>285</v>
      </c>
      <c r="D2" s="226" t="s">
        <v>284</v>
      </c>
      <c r="E2" s="226" t="s">
        <v>305</v>
      </c>
      <c r="F2" s="223" t="s">
        <v>274</v>
      </c>
      <c r="G2" s="227" t="s">
        <v>273</v>
      </c>
      <c r="H2" s="228" t="s">
        <v>272</v>
      </c>
      <c r="I2" s="229" t="s">
        <v>283</v>
      </c>
      <c r="J2" s="229" t="s">
        <v>282</v>
      </c>
      <c r="K2" s="227" t="s">
        <v>281</v>
      </c>
      <c r="L2" s="230" t="s">
        <v>280</v>
      </c>
      <c r="M2" s="231" t="s">
        <v>279</v>
      </c>
      <c r="N2" s="231" t="s">
        <v>278</v>
      </c>
      <c r="O2" s="232" t="s">
        <v>326</v>
      </c>
      <c r="P2" s="226" t="s">
        <v>302</v>
      </c>
    </row>
    <row r="3" spans="1:16" ht="14.4" thickBot="1" x14ac:dyDescent="0.35">
      <c r="A3" s="208" t="s">
        <v>668</v>
      </c>
      <c r="B3" s="208" t="s">
        <v>275</v>
      </c>
      <c r="C3" s="208" t="s">
        <v>285</v>
      </c>
      <c r="D3" s="208" t="s">
        <v>284</v>
      </c>
      <c r="E3" s="208" t="s">
        <v>305</v>
      </c>
      <c r="F3" s="208" t="s">
        <v>274</v>
      </c>
      <c r="G3" s="208" t="s">
        <v>273</v>
      </c>
      <c r="H3" s="208" t="s">
        <v>272</v>
      </c>
      <c r="I3" s="208" t="s">
        <v>283</v>
      </c>
      <c r="J3" s="208" t="s">
        <v>282</v>
      </c>
      <c r="K3" s="208" t="s">
        <v>281</v>
      </c>
      <c r="L3" s="208" t="s">
        <v>280</v>
      </c>
      <c r="M3" s="208" t="s">
        <v>279</v>
      </c>
      <c r="N3" s="208" t="s">
        <v>278</v>
      </c>
      <c r="O3" s="208" t="s">
        <v>326</v>
      </c>
      <c r="P3" s="208" t="s">
        <v>302</v>
      </c>
    </row>
    <row r="4" spans="1:16" x14ac:dyDescent="0.3">
      <c r="A4" s="146" t="s">
        <v>277</v>
      </c>
      <c r="B4" s="146">
        <v>2007</v>
      </c>
      <c r="C4" s="212" t="s">
        <v>106</v>
      </c>
      <c r="D4" s="147" t="s">
        <v>671</v>
      </c>
      <c r="E4" s="147" t="s">
        <v>303</v>
      </c>
      <c r="F4" s="146" t="s">
        <v>135</v>
      </c>
      <c r="G4" s="148">
        <v>64</v>
      </c>
      <c r="H4" s="149">
        <v>1</v>
      </c>
      <c r="I4" s="150">
        <v>17.504000000000001</v>
      </c>
      <c r="J4" s="150">
        <v>17.504000000000001</v>
      </c>
      <c r="K4" s="214">
        <v>9216</v>
      </c>
      <c r="L4" s="217" t="s">
        <v>134</v>
      </c>
      <c r="M4" s="212" t="s">
        <v>101</v>
      </c>
      <c r="N4" s="212" t="s">
        <v>102</v>
      </c>
      <c r="O4" s="216" t="s">
        <v>379</v>
      </c>
      <c r="P4" s="216" t="s">
        <v>300</v>
      </c>
    </row>
    <row r="5" spans="1:16" x14ac:dyDescent="0.3">
      <c r="A5" s="146">
        <v>118</v>
      </c>
      <c r="B5" s="147">
        <v>2007</v>
      </c>
      <c r="C5" s="212" t="s">
        <v>105</v>
      </c>
      <c r="D5" s="147" t="s">
        <v>276</v>
      </c>
      <c r="E5" s="147" t="s">
        <v>303</v>
      </c>
      <c r="F5" s="146" t="s">
        <v>135</v>
      </c>
      <c r="G5" s="148">
        <v>76</v>
      </c>
      <c r="H5" s="149">
        <v>1</v>
      </c>
      <c r="I5" s="150">
        <v>49.75</v>
      </c>
      <c r="J5" s="150">
        <v>49.75</v>
      </c>
      <c r="K5" s="214">
        <v>15011</v>
      </c>
      <c r="L5" s="217" t="s">
        <v>134</v>
      </c>
      <c r="M5" s="212" t="s">
        <v>92</v>
      </c>
      <c r="N5" s="212" t="s">
        <v>93</v>
      </c>
      <c r="O5" s="216" t="s">
        <v>379</v>
      </c>
      <c r="P5" s="216" t="s">
        <v>300</v>
      </c>
    </row>
    <row r="6" spans="1:16" x14ac:dyDescent="0.3">
      <c r="A6" s="146">
        <v>126</v>
      </c>
      <c r="B6" s="147">
        <v>2007</v>
      </c>
      <c r="C6" s="212" t="s">
        <v>105</v>
      </c>
      <c r="D6" s="147" t="s">
        <v>271</v>
      </c>
      <c r="E6" s="147" t="s">
        <v>303</v>
      </c>
      <c r="F6" s="146" t="s">
        <v>135</v>
      </c>
      <c r="G6" s="148">
        <v>52</v>
      </c>
      <c r="H6" s="149">
        <v>1</v>
      </c>
      <c r="I6" s="150">
        <v>17.600000000000001</v>
      </c>
      <c r="J6" s="150">
        <v>17.600000000000001</v>
      </c>
      <c r="K6" s="214">
        <v>5024</v>
      </c>
      <c r="L6" s="217" t="s">
        <v>134</v>
      </c>
      <c r="M6" s="212" t="s">
        <v>94</v>
      </c>
      <c r="N6" s="212" t="s">
        <v>95</v>
      </c>
      <c r="O6" s="216" t="s">
        <v>379</v>
      </c>
      <c r="P6" s="216" t="s">
        <v>300</v>
      </c>
    </row>
    <row r="7" spans="1:16" x14ac:dyDescent="0.3">
      <c r="A7" s="146">
        <v>133</v>
      </c>
      <c r="B7" s="147">
        <v>2007</v>
      </c>
      <c r="C7" s="212" t="s">
        <v>105</v>
      </c>
      <c r="D7" s="147" t="s">
        <v>270</v>
      </c>
      <c r="E7" s="147" t="s">
        <v>303</v>
      </c>
      <c r="F7" s="146" t="s">
        <v>135</v>
      </c>
      <c r="G7" s="148">
        <v>36</v>
      </c>
      <c r="H7" s="149">
        <v>1</v>
      </c>
      <c r="I7" s="150">
        <v>30.722000000000001</v>
      </c>
      <c r="J7" s="150">
        <v>30.722000000000001</v>
      </c>
      <c r="K7" s="214">
        <v>6713</v>
      </c>
      <c r="L7" s="217" t="s">
        <v>134</v>
      </c>
      <c r="M7" s="212" t="s">
        <v>93</v>
      </c>
      <c r="N7" s="212" t="s">
        <v>93</v>
      </c>
      <c r="O7" s="216" t="s">
        <v>379</v>
      </c>
      <c r="P7" s="216" t="s">
        <v>300</v>
      </c>
    </row>
    <row r="8" spans="1:16" x14ac:dyDescent="0.3">
      <c r="A8" s="146" t="s">
        <v>269</v>
      </c>
      <c r="B8" s="147">
        <v>2007</v>
      </c>
      <c r="C8" s="212" t="s">
        <v>104</v>
      </c>
      <c r="D8" s="147" t="s">
        <v>268</v>
      </c>
      <c r="E8" s="147" t="s">
        <v>303</v>
      </c>
      <c r="F8" s="146" t="s">
        <v>135</v>
      </c>
      <c r="G8" s="148">
        <v>326</v>
      </c>
      <c r="H8" s="149">
        <v>1</v>
      </c>
      <c r="I8" s="150">
        <v>73.695999999999998</v>
      </c>
      <c r="J8" s="150">
        <v>73.695999999999998</v>
      </c>
      <c r="K8" s="214">
        <v>20824.57</v>
      </c>
      <c r="L8" s="217" t="s">
        <v>134</v>
      </c>
      <c r="M8" s="212" t="s">
        <v>18</v>
      </c>
      <c r="N8" s="212" t="s">
        <v>19</v>
      </c>
      <c r="O8" s="216" t="s">
        <v>379</v>
      </c>
      <c r="P8" s="216" t="s">
        <v>300</v>
      </c>
    </row>
    <row r="9" spans="1:16" x14ac:dyDescent="0.3">
      <c r="A9" s="146" t="s">
        <v>267</v>
      </c>
      <c r="B9" s="147">
        <v>2007</v>
      </c>
      <c r="C9" s="212" t="s">
        <v>104</v>
      </c>
      <c r="D9" s="147" t="s">
        <v>266</v>
      </c>
      <c r="E9" s="147" t="s">
        <v>303</v>
      </c>
      <c r="F9" s="146" t="s">
        <v>135</v>
      </c>
      <c r="G9" s="148">
        <v>200</v>
      </c>
      <c r="H9" s="149">
        <v>1</v>
      </c>
      <c r="I9" s="150">
        <v>90.269000000000005</v>
      </c>
      <c r="J9" s="150">
        <v>90.269000000000005</v>
      </c>
      <c r="K9" s="214">
        <v>32136.57</v>
      </c>
      <c r="L9" s="217" t="s">
        <v>134</v>
      </c>
      <c r="M9" s="212" t="s">
        <v>18</v>
      </c>
      <c r="N9" s="212" t="s">
        <v>19</v>
      </c>
      <c r="O9" s="216" t="s">
        <v>379</v>
      </c>
      <c r="P9" s="216" t="s">
        <v>300</v>
      </c>
    </row>
    <row r="10" spans="1:16" x14ac:dyDescent="0.3">
      <c r="A10" s="146">
        <v>157</v>
      </c>
      <c r="B10" s="147">
        <v>2007</v>
      </c>
      <c r="C10" s="212" t="s">
        <v>104</v>
      </c>
      <c r="D10" s="147" t="s">
        <v>265</v>
      </c>
      <c r="E10" s="147" t="s">
        <v>303</v>
      </c>
      <c r="F10" s="146" t="s">
        <v>135</v>
      </c>
      <c r="G10" s="148">
        <v>308</v>
      </c>
      <c r="H10" s="149">
        <v>0.125</v>
      </c>
      <c r="I10" s="150">
        <v>108.08</v>
      </c>
      <c r="J10" s="150">
        <v>13.51</v>
      </c>
      <c r="K10" s="214">
        <v>39578</v>
      </c>
      <c r="L10" s="217" t="s">
        <v>134</v>
      </c>
      <c r="M10" s="212" t="s">
        <v>94</v>
      </c>
      <c r="N10" s="212" t="s">
        <v>93</v>
      </c>
      <c r="O10" s="216" t="s">
        <v>379</v>
      </c>
      <c r="P10" s="216" t="s">
        <v>49</v>
      </c>
    </row>
    <row r="11" spans="1:16" x14ac:dyDescent="0.3">
      <c r="A11" s="146">
        <v>156</v>
      </c>
      <c r="B11" s="147">
        <v>2007</v>
      </c>
      <c r="C11" s="212" t="s">
        <v>104</v>
      </c>
      <c r="D11" s="147" t="s">
        <v>264</v>
      </c>
      <c r="E11" s="147" t="s">
        <v>303</v>
      </c>
      <c r="F11" s="146" t="s">
        <v>135</v>
      </c>
      <c r="G11" s="148">
        <v>40</v>
      </c>
      <c r="H11" s="149">
        <v>0.17499999999999999</v>
      </c>
      <c r="I11" s="150">
        <v>32.299999999999997</v>
      </c>
      <c r="J11" s="150">
        <v>5.652499999999999</v>
      </c>
      <c r="K11" s="214">
        <v>8480</v>
      </c>
      <c r="L11" s="217" t="s">
        <v>134</v>
      </c>
      <c r="M11" s="212" t="s">
        <v>94</v>
      </c>
      <c r="N11" s="212" t="s">
        <v>93</v>
      </c>
      <c r="O11" s="216" t="s">
        <v>379</v>
      </c>
      <c r="P11" s="216" t="s">
        <v>49</v>
      </c>
    </row>
    <row r="12" spans="1:16" x14ac:dyDescent="0.3">
      <c r="A12" s="146">
        <v>125</v>
      </c>
      <c r="B12" s="147">
        <v>2007</v>
      </c>
      <c r="C12" s="212" t="s">
        <v>103</v>
      </c>
      <c r="D12" s="147" t="s">
        <v>263</v>
      </c>
      <c r="E12" s="147" t="s">
        <v>303</v>
      </c>
      <c r="F12" s="146" t="s">
        <v>135</v>
      </c>
      <c r="G12" s="148">
        <v>36</v>
      </c>
      <c r="H12" s="149">
        <v>1</v>
      </c>
      <c r="I12" s="150">
        <v>33.090000000000003</v>
      </c>
      <c r="J12" s="150">
        <v>33.090000000000003</v>
      </c>
      <c r="K12" s="214">
        <v>6582</v>
      </c>
      <c r="L12" s="217" t="s">
        <v>134</v>
      </c>
      <c r="M12" s="212" t="s">
        <v>91</v>
      </c>
      <c r="N12" s="212" t="s">
        <v>92</v>
      </c>
      <c r="O12" s="216" t="s">
        <v>379</v>
      </c>
      <c r="P12" s="216" t="s">
        <v>300</v>
      </c>
    </row>
    <row r="13" spans="1:16" x14ac:dyDescent="0.3">
      <c r="A13" s="146">
        <v>114</v>
      </c>
      <c r="B13" s="147">
        <v>2007</v>
      </c>
      <c r="C13" s="212" t="s">
        <v>103</v>
      </c>
      <c r="D13" s="147" t="s">
        <v>262</v>
      </c>
      <c r="E13" s="147" t="s">
        <v>303</v>
      </c>
      <c r="F13" s="146" t="s">
        <v>135</v>
      </c>
      <c r="G13" s="148">
        <v>128</v>
      </c>
      <c r="H13" s="149">
        <v>0.5</v>
      </c>
      <c r="I13" s="150">
        <v>146.1</v>
      </c>
      <c r="J13" s="150">
        <v>73.05</v>
      </c>
      <c r="K13" s="214">
        <v>44391</v>
      </c>
      <c r="L13" s="217" t="s">
        <v>134</v>
      </c>
      <c r="M13" s="212" t="s">
        <v>14</v>
      </c>
      <c r="N13" s="212" t="s">
        <v>15</v>
      </c>
      <c r="O13" s="216" t="s">
        <v>379</v>
      </c>
      <c r="P13" s="216" t="s">
        <v>49</v>
      </c>
    </row>
    <row r="14" spans="1:16" x14ac:dyDescent="0.3">
      <c r="A14" s="146">
        <v>170</v>
      </c>
      <c r="B14" s="147">
        <v>2007</v>
      </c>
      <c r="C14" s="212" t="s">
        <v>103</v>
      </c>
      <c r="D14" s="147" t="s">
        <v>261</v>
      </c>
      <c r="E14" s="147" t="s">
        <v>303</v>
      </c>
      <c r="F14" s="146" t="s">
        <v>135</v>
      </c>
      <c r="G14" s="148">
        <v>500</v>
      </c>
      <c r="H14" s="149">
        <v>1</v>
      </c>
      <c r="I14" s="150">
        <v>99</v>
      </c>
      <c r="J14" s="150">
        <v>99</v>
      </c>
      <c r="K14" s="214">
        <v>40740</v>
      </c>
      <c r="L14" s="217" t="s">
        <v>134</v>
      </c>
      <c r="M14" s="212" t="s">
        <v>12</v>
      </c>
      <c r="N14" s="212" t="s">
        <v>12</v>
      </c>
      <c r="O14" s="216" t="s">
        <v>379</v>
      </c>
      <c r="P14" s="216" t="s">
        <v>300</v>
      </c>
    </row>
    <row r="15" spans="1:16" x14ac:dyDescent="0.3">
      <c r="A15" s="146">
        <v>148</v>
      </c>
      <c r="B15" s="147">
        <v>2007</v>
      </c>
      <c r="C15" s="212" t="s">
        <v>103</v>
      </c>
      <c r="D15" s="147" t="s">
        <v>260</v>
      </c>
      <c r="E15" s="147" t="s">
        <v>304</v>
      </c>
      <c r="F15" s="146" t="s">
        <v>135</v>
      </c>
      <c r="G15" s="148">
        <v>800</v>
      </c>
      <c r="H15" s="149">
        <v>0.4</v>
      </c>
      <c r="I15" s="150">
        <v>194.386</v>
      </c>
      <c r="J15" s="150">
        <v>77.754400000000004</v>
      </c>
      <c r="K15" s="214">
        <v>75680.41</v>
      </c>
      <c r="L15" s="217" t="s">
        <v>134</v>
      </c>
      <c r="M15" s="212" t="s">
        <v>92</v>
      </c>
      <c r="N15" s="212" t="s">
        <v>14</v>
      </c>
      <c r="O15" s="216" t="s">
        <v>379</v>
      </c>
      <c r="P15" s="216" t="s">
        <v>49</v>
      </c>
    </row>
    <row r="16" spans="1:16" x14ac:dyDescent="0.3">
      <c r="A16" s="146">
        <v>173</v>
      </c>
      <c r="B16" s="147">
        <v>2007</v>
      </c>
      <c r="C16" s="212" t="s">
        <v>103</v>
      </c>
      <c r="D16" s="147" t="s">
        <v>259</v>
      </c>
      <c r="E16" s="147" t="s">
        <v>307</v>
      </c>
      <c r="F16" s="146" t="s">
        <v>135</v>
      </c>
      <c r="G16" s="148">
        <v>490</v>
      </c>
      <c r="H16" s="149">
        <v>0.2</v>
      </c>
      <c r="I16" s="150">
        <v>110.339</v>
      </c>
      <c r="J16" s="150">
        <v>22.067800000000002</v>
      </c>
      <c r="K16" s="214">
        <v>38676</v>
      </c>
      <c r="L16" s="217" t="s">
        <v>134</v>
      </c>
      <c r="M16" s="212" t="s">
        <v>17</v>
      </c>
      <c r="N16" s="212" t="s">
        <v>17</v>
      </c>
      <c r="O16" s="216" t="s">
        <v>379</v>
      </c>
      <c r="P16" s="216" t="s">
        <v>49</v>
      </c>
    </row>
    <row r="17" spans="1:16" x14ac:dyDescent="0.3">
      <c r="A17" s="146">
        <v>128</v>
      </c>
      <c r="B17" s="147">
        <v>2007</v>
      </c>
      <c r="C17" s="212" t="s">
        <v>103</v>
      </c>
      <c r="D17" s="147" t="s">
        <v>258</v>
      </c>
      <c r="E17" s="147" t="s">
        <v>306</v>
      </c>
      <c r="F17" s="146" t="s">
        <v>135</v>
      </c>
      <c r="G17" s="148">
        <v>176</v>
      </c>
      <c r="H17" s="149">
        <v>0.85</v>
      </c>
      <c r="I17" s="150">
        <v>115.099</v>
      </c>
      <c r="J17" s="150">
        <v>97.834149999999994</v>
      </c>
      <c r="K17" s="214">
        <v>40466</v>
      </c>
      <c r="L17" s="217" t="s">
        <v>134</v>
      </c>
      <c r="M17" s="212" t="s">
        <v>18</v>
      </c>
      <c r="N17" s="212" t="s">
        <v>18</v>
      </c>
      <c r="O17" s="216" t="s">
        <v>379</v>
      </c>
      <c r="P17" s="216" t="s">
        <v>49</v>
      </c>
    </row>
    <row r="18" spans="1:16" x14ac:dyDescent="0.3">
      <c r="A18" s="146">
        <v>171</v>
      </c>
      <c r="B18" s="147">
        <v>2007</v>
      </c>
      <c r="C18" s="212" t="s">
        <v>103</v>
      </c>
      <c r="D18" s="147" t="s">
        <v>257</v>
      </c>
      <c r="E18" s="147" t="s">
        <v>308</v>
      </c>
      <c r="F18" s="146" t="s">
        <v>109</v>
      </c>
      <c r="G18" s="148">
        <v>182</v>
      </c>
      <c r="H18" s="149">
        <v>0.44</v>
      </c>
      <c r="I18" s="150">
        <v>33.6</v>
      </c>
      <c r="J18" s="150">
        <v>14.784000000000001</v>
      </c>
      <c r="K18" s="214">
        <v>15327.9</v>
      </c>
      <c r="L18" s="217" t="s">
        <v>134</v>
      </c>
      <c r="M18" s="212" t="s">
        <v>18</v>
      </c>
      <c r="N18" s="212" t="s">
        <v>18</v>
      </c>
      <c r="O18" s="216" t="s">
        <v>379</v>
      </c>
      <c r="P18" s="216" t="s">
        <v>49</v>
      </c>
    </row>
    <row r="19" spans="1:16" x14ac:dyDescent="0.3">
      <c r="A19" s="146">
        <v>163</v>
      </c>
      <c r="B19" s="147">
        <v>2007</v>
      </c>
      <c r="C19" s="212" t="s">
        <v>103</v>
      </c>
      <c r="D19" s="147" t="s">
        <v>256</v>
      </c>
      <c r="E19" s="147" t="s">
        <v>303</v>
      </c>
      <c r="F19" s="146" t="s">
        <v>135</v>
      </c>
      <c r="G19" s="148">
        <v>80</v>
      </c>
      <c r="H19" s="149">
        <v>0.5</v>
      </c>
      <c r="I19" s="150">
        <v>19.3</v>
      </c>
      <c r="J19" s="150">
        <v>9.65</v>
      </c>
      <c r="K19" s="214">
        <v>6588</v>
      </c>
      <c r="L19" s="217" t="s">
        <v>134</v>
      </c>
      <c r="M19" s="212" t="s">
        <v>91</v>
      </c>
      <c r="N19" s="212" t="s">
        <v>91</v>
      </c>
      <c r="O19" s="216" t="s">
        <v>379</v>
      </c>
      <c r="P19" s="216" t="s">
        <v>49</v>
      </c>
    </row>
    <row r="20" spans="1:16" x14ac:dyDescent="0.3">
      <c r="A20" s="146">
        <v>175</v>
      </c>
      <c r="B20" s="147">
        <v>2007</v>
      </c>
      <c r="C20" s="212" t="s">
        <v>103</v>
      </c>
      <c r="D20" s="147" t="s">
        <v>254</v>
      </c>
      <c r="E20" s="147" t="s">
        <v>255</v>
      </c>
      <c r="F20" s="146" t="s">
        <v>113</v>
      </c>
      <c r="G20" s="148">
        <v>120</v>
      </c>
      <c r="H20" s="149">
        <v>0.3</v>
      </c>
      <c r="I20" s="150">
        <v>57.5</v>
      </c>
      <c r="J20" s="150">
        <v>17.25</v>
      </c>
      <c r="K20" s="214">
        <v>18513.599999999999</v>
      </c>
      <c r="L20" s="217" t="s">
        <v>134</v>
      </c>
      <c r="M20" s="212" t="s">
        <v>15</v>
      </c>
      <c r="N20" s="212" t="s">
        <v>16</v>
      </c>
      <c r="O20" s="216" t="s">
        <v>379</v>
      </c>
      <c r="P20" s="216" t="s">
        <v>49</v>
      </c>
    </row>
    <row r="21" spans="1:16" x14ac:dyDescent="0.3">
      <c r="A21" s="146">
        <v>140</v>
      </c>
      <c r="B21" s="147">
        <v>2007</v>
      </c>
      <c r="C21" s="212" t="s">
        <v>103</v>
      </c>
      <c r="D21" s="147" t="s">
        <v>253</v>
      </c>
      <c r="E21" s="147" t="s">
        <v>309</v>
      </c>
      <c r="F21" s="146" t="s">
        <v>135</v>
      </c>
      <c r="G21" s="148">
        <v>192</v>
      </c>
      <c r="H21" s="149">
        <v>0.8</v>
      </c>
      <c r="I21" s="150">
        <v>101.4</v>
      </c>
      <c r="J21" s="150">
        <v>81.12</v>
      </c>
      <c r="K21" s="214">
        <v>30762.240000000002</v>
      </c>
      <c r="L21" s="217" t="s">
        <v>134</v>
      </c>
      <c r="M21" s="212" t="s">
        <v>18</v>
      </c>
      <c r="N21" s="212" t="s">
        <v>19</v>
      </c>
      <c r="O21" s="216" t="s">
        <v>379</v>
      </c>
      <c r="P21" s="216" t="s">
        <v>300</v>
      </c>
    </row>
    <row r="22" spans="1:16" x14ac:dyDescent="0.3">
      <c r="A22" s="146">
        <v>149</v>
      </c>
      <c r="B22" s="147">
        <v>2007</v>
      </c>
      <c r="C22" s="212" t="s">
        <v>103</v>
      </c>
      <c r="D22" s="147" t="s">
        <v>252</v>
      </c>
      <c r="E22" s="147" t="s">
        <v>303</v>
      </c>
      <c r="F22" s="146" t="s">
        <v>135</v>
      </c>
      <c r="G22" s="148">
        <v>41</v>
      </c>
      <c r="H22" s="149">
        <v>0.6</v>
      </c>
      <c r="I22" s="150">
        <v>16.8</v>
      </c>
      <c r="J22" s="150">
        <v>10.08</v>
      </c>
      <c r="K22" s="214">
        <v>5142</v>
      </c>
      <c r="L22" s="217" t="s">
        <v>134</v>
      </c>
      <c r="M22" s="212" t="s">
        <v>92</v>
      </c>
      <c r="N22" s="212" t="s">
        <v>92</v>
      </c>
      <c r="O22" s="216" t="s">
        <v>379</v>
      </c>
      <c r="P22" s="216" t="s">
        <v>49</v>
      </c>
    </row>
    <row r="23" spans="1:16" x14ac:dyDescent="0.3">
      <c r="A23" s="146">
        <v>121</v>
      </c>
      <c r="B23" s="147">
        <v>2007</v>
      </c>
      <c r="C23" s="212" t="s">
        <v>103</v>
      </c>
      <c r="D23" s="147" t="s">
        <v>288</v>
      </c>
      <c r="E23" s="147" t="s">
        <v>310</v>
      </c>
      <c r="F23" s="146" t="s">
        <v>135</v>
      </c>
      <c r="G23" s="148">
        <v>124</v>
      </c>
      <c r="H23" s="149">
        <v>0.5</v>
      </c>
      <c r="I23" s="150">
        <v>36.44</v>
      </c>
      <c r="J23" s="150">
        <v>18.22</v>
      </c>
      <c r="K23" s="214">
        <v>16120</v>
      </c>
      <c r="L23" s="217" t="s">
        <v>134</v>
      </c>
      <c r="M23" s="212" t="s">
        <v>16</v>
      </c>
      <c r="N23" s="212" t="s">
        <v>92</v>
      </c>
      <c r="O23" s="216" t="s">
        <v>379</v>
      </c>
      <c r="P23" s="216" t="s">
        <v>300</v>
      </c>
    </row>
    <row r="24" spans="1:16" x14ac:dyDescent="0.3">
      <c r="A24" s="146">
        <v>129</v>
      </c>
      <c r="B24" s="147">
        <v>2007</v>
      </c>
      <c r="C24" s="212" t="s">
        <v>103</v>
      </c>
      <c r="D24" s="147" t="s">
        <v>251</v>
      </c>
      <c r="E24" s="147" t="s">
        <v>303</v>
      </c>
      <c r="F24" s="146" t="s">
        <v>135</v>
      </c>
      <c r="G24" s="148">
        <v>32</v>
      </c>
      <c r="H24" s="149">
        <v>1</v>
      </c>
      <c r="I24" s="150">
        <v>25.1</v>
      </c>
      <c r="J24" s="150">
        <v>25.1</v>
      </c>
      <c r="K24" s="214">
        <v>5855</v>
      </c>
      <c r="L24" s="217" t="s">
        <v>134</v>
      </c>
      <c r="M24" s="212" t="s">
        <v>91</v>
      </c>
      <c r="N24" s="212" t="s">
        <v>92</v>
      </c>
      <c r="O24" s="216" t="s">
        <v>379</v>
      </c>
      <c r="P24" s="216" t="s">
        <v>300</v>
      </c>
    </row>
    <row r="25" spans="1:16" x14ac:dyDescent="0.3">
      <c r="A25" s="146">
        <v>154</v>
      </c>
      <c r="B25" s="147">
        <v>2008</v>
      </c>
      <c r="C25" s="212" t="s">
        <v>102</v>
      </c>
      <c r="D25" s="147" t="s">
        <v>250</v>
      </c>
      <c r="E25" s="147" t="s">
        <v>311</v>
      </c>
      <c r="F25" s="146" t="s">
        <v>135</v>
      </c>
      <c r="G25" s="148">
        <v>228</v>
      </c>
      <c r="H25" s="149">
        <v>1</v>
      </c>
      <c r="I25" s="150">
        <v>85.29</v>
      </c>
      <c r="J25" s="150">
        <v>85.29</v>
      </c>
      <c r="K25" s="214">
        <v>30904.639999999999</v>
      </c>
      <c r="L25" s="217" t="s">
        <v>134</v>
      </c>
      <c r="M25" s="212" t="s">
        <v>17</v>
      </c>
      <c r="N25" s="212" t="s">
        <v>18</v>
      </c>
      <c r="O25" s="216" t="s">
        <v>379</v>
      </c>
      <c r="P25" s="216" t="s">
        <v>300</v>
      </c>
    </row>
    <row r="26" spans="1:16" x14ac:dyDescent="0.3">
      <c r="A26" s="146">
        <v>162</v>
      </c>
      <c r="B26" s="147">
        <v>2008</v>
      </c>
      <c r="C26" s="212" t="s">
        <v>102</v>
      </c>
      <c r="D26" s="147" t="s">
        <v>249</v>
      </c>
      <c r="E26" s="147" t="s">
        <v>303</v>
      </c>
      <c r="F26" s="146" t="s">
        <v>135</v>
      </c>
      <c r="G26" s="148">
        <v>44</v>
      </c>
      <c r="H26" s="149">
        <v>0.25</v>
      </c>
      <c r="I26" s="150">
        <v>22.8</v>
      </c>
      <c r="J26" s="150">
        <v>5.7</v>
      </c>
      <c r="K26" s="214">
        <v>6153</v>
      </c>
      <c r="L26" s="217" t="s">
        <v>134</v>
      </c>
      <c r="M26" s="212" t="s">
        <v>19</v>
      </c>
      <c r="N26" s="212" t="s">
        <v>91</v>
      </c>
      <c r="O26" s="216" t="s">
        <v>379</v>
      </c>
      <c r="P26" s="216" t="s">
        <v>300</v>
      </c>
    </row>
    <row r="27" spans="1:16" x14ac:dyDescent="0.3">
      <c r="A27" s="146">
        <v>112</v>
      </c>
      <c r="B27" s="147">
        <v>2008</v>
      </c>
      <c r="C27" s="212" t="s">
        <v>102</v>
      </c>
      <c r="D27" s="147" t="s">
        <v>248</v>
      </c>
      <c r="E27" s="147" t="s">
        <v>303</v>
      </c>
      <c r="F27" s="146" t="s">
        <v>135</v>
      </c>
      <c r="G27" s="148">
        <v>152</v>
      </c>
      <c r="H27" s="149">
        <v>1</v>
      </c>
      <c r="I27" s="150">
        <v>136.19999999999999</v>
      </c>
      <c r="J27" s="150">
        <v>136.19999999999999</v>
      </c>
      <c r="K27" s="214">
        <v>34041.55736181535</v>
      </c>
      <c r="L27" s="217" t="s">
        <v>134</v>
      </c>
      <c r="M27" s="212" t="s">
        <v>13</v>
      </c>
      <c r="N27" s="212" t="s">
        <v>14</v>
      </c>
      <c r="O27" s="216" t="s">
        <v>379</v>
      </c>
      <c r="P27" s="216" t="s">
        <v>300</v>
      </c>
    </row>
    <row r="28" spans="1:16" x14ac:dyDescent="0.3">
      <c r="A28" s="146">
        <v>144</v>
      </c>
      <c r="B28" s="147">
        <v>2008</v>
      </c>
      <c r="C28" s="212" t="s">
        <v>101</v>
      </c>
      <c r="D28" s="147" t="s">
        <v>247</v>
      </c>
      <c r="E28" s="147" t="s">
        <v>303</v>
      </c>
      <c r="F28" s="146" t="s">
        <v>135</v>
      </c>
      <c r="G28" s="148">
        <v>44</v>
      </c>
      <c r="H28" s="149">
        <v>0.6</v>
      </c>
      <c r="I28" s="150">
        <v>18.32</v>
      </c>
      <c r="J28" s="150">
        <v>10.991999999999999</v>
      </c>
      <c r="K28" s="214">
        <v>5582</v>
      </c>
      <c r="L28" s="217" t="s">
        <v>134</v>
      </c>
      <c r="M28" s="212" t="s">
        <v>18</v>
      </c>
      <c r="N28" s="212" t="s">
        <v>19</v>
      </c>
      <c r="O28" s="216" t="s">
        <v>379</v>
      </c>
      <c r="P28" s="216" t="s">
        <v>49</v>
      </c>
    </row>
    <row r="29" spans="1:16" x14ac:dyDescent="0.3">
      <c r="A29" s="146">
        <v>120</v>
      </c>
      <c r="B29" s="147">
        <v>2008</v>
      </c>
      <c r="C29" s="212" t="s">
        <v>101</v>
      </c>
      <c r="D29" s="147" t="s">
        <v>246</v>
      </c>
      <c r="E29" s="147" t="s">
        <v>303</v>
      </c>
      <c r="F29" s="146" t="s">
        <v>135</v>
      </c>
      <c r="G29" s="148">
        <v>32</v>
      </c>
      <c r="H29" s="149">
        <v>1</v>
      </c>
      <c r="I29" s="150">
        <v>34.6</v>
      </c>
      <c r="J29" s="150">
        <v>34.6</v>
      </c>
      <c r="K29" s="214">
        <v>6881</v>
      </c>
      <c r="L29" s="217" t="s">
        <v>134</v>
      </c>
      <c r="M29" s="212" t="s">
        <v>17</v>
      </c>
      <c r="N29" s="212" t="s">
        <v>18</v>
      </c>
      <c r="O29" s="216" t="s">
        <v>379</v>
      </c>
      <c r="P29" s="216" t="s">
        <v>300</v>
      </c>
    </row>
    <row r="30" spans="1:16" x14ac:dyDescent="0.3">
      <c r="A30" s="146">
        <v>186</v>
      </c>
      <c r="B30" s="147">
        <v>2008</v>
      </c>
      <c r="C30" s="212" t="s">
        <v>101</v>
      </c>
      <c r="D30" s="147" t="s">
        <v>245</v>
      </c>
      <c r="E30" s="147" t="s">
        <v>255</v>
      </c>
      <c r="F30" s="146" t="s">
        <v>113</v>
      </c>
      <c r="G30" s="148">
        <v>304</v>
      </c>
      <c r="H30" s="149">
        <v>0.3</v>
      </c>
      <c r="I30" s="150">
        <v>47.5</v>
      </c>
      <c r="J30" s="150">
        <v>14.25</v>
      </c>
      <c r="K30" s="214">
        <v>21808</v>
      </c>
      <c r="L30" s="217" t="s">
        <v>134</v>
      </c>
      <c r="M30" s="212" t="s">
        <v>13</v>
      </c>
      <c r="N30" s="212" t="s">
        <v>14</v>
      </c>
      <c r="O30" s="216" t="s">
        <v>379</v>
      </c>
      <c r="P30" s="216" t="s">
        <v>49</v>
      </c>
    </row>
    <row r="31" spans="1:16" x14ac:dyDescent="0.3">
      <c r="A31" s="146">
        <v>166</v>
      </c>
      <c r="B31" s="147">
        <v>2008</v>
      </c>
      <c r="C31" s="212" t="s">
        <v>101</v>
      </c>
      <c r="D31" s="147" t="s">
        <v>244</v>
      </c>
      <c r="E31" s="147" t="s">
        <v>303</v>
      </c>
      <c r="F31" s="146" t="s">
        <v>135</v>
      </c>
      <c r="G31" s="148">
        <v>188</v>
      </c>
      <c r="H31" s="149">
        <v>0.6</v>
      </c>
      <c r="I31" s="150">
        <v>70.5</v>
      </c>
      <c r="J31" s="150">
        <v>42.3</v>
      </c>
      <c r="K31" s="214">
        <v>21655</v>
      </c>
      <c r="L31" s="217" t="s">
        <v>134</v>
      </c>
      <c r="M31" s="212" t="s">
        <v>15</v>
      </c>
      <c r="N31" s="212" t="s">
        <v>18</v>
      </c>
      <c r="O31" s="216" t="s">
        <v>379</v>
      </c>
      <c r="P31" s="216" t="s">
        <v>49</v>
      </c>
    </row>
    <row r="32" spans="1:16" x14ac:dyDescent="0.3">
      <c r="A32" s="146">
        <v>153</v>
      </c>
      <c r="B32" s="147">
        <v>2008</v>
      </c>
      <c r="C32" s="212" t="s">
        <v>101</v>
      </c>
      <c r="D32" s="147" t="s">
        <v>243</v>
      </c>
      <c r="E32" s="147" t="s">
        <v>312</v>
      </c>
      <c r="F32" s="146" t="s">
        <v>135</v>
      </c>
      <c r="G32" s="148">
        <v>756</v>
      </c>
      <c r="H32" s="149">
        <v>1</v>
      </c>
      <c r="I32" s="150">
        <v>191.6</v>
      </c>
      <c r="J32" s="150">
        <v>191.6</v>
      </c>
      <c r="K32" s="214">
        <v>73405</v>
      </c>
      <c r="L32" s="217" t="s">
        <v>134</v>
      </c>
      <c r="M32" s="212" t="s">
        <v>12</v>
      </c>
      <c r="N32" s="212" t="s">
        <v>13</v>
      </c>
      <c r="O32" s="216" t="s">
        <v>379</v>
      </c>
      <c r="P32" s="216" t="s">
        <v>300</v>
      </c>
    </row>
    <row r="33" spans="1:16" x14ac:dyDescent="0.3">
      <c r="A33" s="146">
        <v>168</v>
      </c>
      <c r="B33" s="147">
        <v>2008</v>
      </c>
      <c r="C33" s="212" t="s">
        <v>100</v>
      </c>
      <c r="D33" s="147" t="s">
        <v>242</v>
      </c>
      <c r="E33" s="147" t="s">
        <v>237</v>
      </c>
      <c r="F33" s="146" t="s">
        <v>111</v>
      </c>
      <c r="G33" s="148">
        <v>152</v>
      </c>
      <c r="H33" s="149">
        <v>0.75</v>
      </c>
      <c r="I33" s="150">
        <v>55.4</v>
      </c>
      <c r="J33" s="150">
        <v>41.55</v>
      </c>
      <c r="K33" s="214">
        <v>19451</v>
      </c>
      <c r="L33" s="217" t="s">
        <v>134</v>
      </c>
      <c r="M33" s="212" t="s">
        <v>17</v>
      </c>
      <c r="N33" s="212" t="s">
        <v>91</v>
      </c>
      <c r="O33" s="216" t="s">
        <v>379</v>
      </c>
      <c r="P33" s="216" t="s">
        <v>300</v>
      </c>
    </row>
    <row r="34" spans="1:16" x14ac:dyDescent="0.3">
      <c r="A34" s="146">
        <v>196</v>
      </c>
      <c r="B34" s="147">
        <v>2008</v>
      </c>
      <c r="C34" s="212" t="s">
        <v>100</v>
      </c>
      <c r="D34" s="147" t="s">
        <v>241</v>
      </c>
      <c r="E34" s="147" t="s">
        <v>313</v>
      </c>
      <c r="F34" s="146" t="s">
        <v>135</v>
      </c>
      <c r="G34" s="148">
        <v>182</v>
      </c>
      <c r="H34" s="149">
        <v>0.8</v>
      </c>
      <c r="I34" s="150">
        <v>27.2</v>
      </c>
      <c r="J34" s="150">
        <v>21.76</v>
      </c>
      <c r="K34" s="214">
        <v>14196</v>
      </c>
      <c r="L34" s="217" t="s">
        <v>134</v>
      </c>
      <c r="M34" s="212" t="s">
        <v>18</v>
      </c>
      <c r="N34" s="212" t="s">
        <v>91</v>
      </c>
      <c r="O34" s="216" t="s">
        <v>379</v>
      </c>
      <c r="P34" s="216" t="s">
        <v>300</v>
      </c>
    </row>
    <row r="35" spans="1:16" x14ac:dyDescent="0.3">
      <c r="A35" s="146" t="s">
        <v>240</v>
      </c>
      <c r="B35" s="147">
        <v>2008</v>
      </c>
      <c r="C35" s="212" t="s">
        <v>100</v>
      </c>
      <c r="D35" s="147" t="s">
        <v>672</v>
      </c>
      <c r="E35" s="147" t="s">
        <v>314</v>
      </c>
      <c r="F35" s="146" t="s">
        <v>135</v>
      </c>
      <c r="G35" s="148">
        <v>50</v>
      </c>
      <c r="H35" s="149">
        <v>0.75</v>
      </c>
      <c r="I35" s="150">
        <v>10.824999999999999</v>
      </c>
      <c r="J35" s="150">
        <v>8.1187499999999986</v>
      </c>
      <c r="K35" s="214">
        <v>4733.5</v>
      </c>
      <c r="L35" s="217" t="s">
        <v>134</v>
      </c>
      <c r="M35" s="212" t="s">
        <v>93</v>
      </c>
      <c r="N35" s="212" t="s">
        <v>95</v>
      </c>
      <c r="O35" s="216" t="s">
        <v>379</v>
      </c>
      <c r="P35" s="216" t="s">
        <v>49</v>
      </c>
    </row>
    <row r="36" spans="1:16" x14ac:dyDescent="0.3">
      <c r="A36" s="146" t="s">
        <v>289</v>
      </c>
      <c r="B36" s="147">
        <v>2008</v>
      </c>
      <c r="C36" s="212" t="s">
        <v>100</v>
      </c>
      <c r="D36" s="147" t="s">
        <v>673</v>
      </c>
      <c r="E36" s="147" t="s">
        <v>314</v>
      </c>
      <c r="F36" s="146" t="s">
        <v>135</v>
      </c>
      <c r="G36" s="148">
        <v>50</v>
      </c>
      <c r="H36" s="149">
        <v>0.75</v>
      </c>
      <c r="I36" s="150">
        <v>10.824999999999999</v>
      </c>
      <c r="J36" s="150">
        <v>8.1187499999999986</v>
      </c>
      <c r="K36" s="214">
        <v>4733.5</v>
      </c>
      <c r="L36" s="217" t="s">
        <v>134</v>
      </c>
      <c r="M36" s="212" t="s">
        <v>91</v>
      </c>
      <c r="N36" s="212" t="s">
        <v>92</v>
      </c>
      <c r="O36" s="216" t="s">
        <v>379</v>
      </c>
      <c r="P36" s="216" t="s">
        <v>49</v>
      </c>
    </row>
    <row r="37" spans="1:16" x14ac:dyDescent="0.3">
      <c r="A37" s="146" t="s">
        <v>290</v>
      </c>
      <c r="B37" s="147">
        <v>2008</v>
      </c>
      <c r="C37" s="212" t="s">
        <v>100</v>
      </c>
      <c r="D37" s="147" t="s">
        <v>674</v>
      </c>
      <c r="E37" s="147" t="s">
        <v>314</v>
      </c>
      <c r="F37" s="146" t="s">
        <v>135</v>
      </c>
      <c r="G37" s="148">
        <v>50</v>
      </c>
      <c r="H37" s="149">
        <v>0.75</v>
      </c>
      <c r="I37" s="150">
        <v>10.824999999999999</v>
      </c>
      <c r="J37" s="150">
        <v>8.1187499999999986</v>
      </c>
      <c r="K37" s="214">
        <v>4733.5</v>
      </c>
      <c r="L37" s="217" t="s">
        <v>134</v>
      </c>
      <c r="M37" s="212" t="s">
        <v>17</v>
      </c>
      <c r="N37" s="212" t="s">
        <v>18</v>
      </c>
      <c r="O37" s="216" t="s">
        <v>379</v>
      </c>
      <c r="P37" s="216" t="s">
        <v>49</v>
      </c>
    </row>
    <row r="38" spans="1:16" x14ac:dyDescent="0.3">
      <c r="A38" s="146" t="s">
        <v>291</v>
      </c>
      <c r="B38" s="147">
        <v>2008</v>
      </c>
      <c r="C38" s="212" t="s">
        <v>100</v>
      </c>
      <c r="D38" s="147" t="s">
        <v>675</v>
      </c>
      <c r="E38" s="147" t="s">
        <v>314</v>
      </c>
      <c r="F38" s="146" t="s">
        <v>135</v>
      </c>
      <c r="G38" s="148">
        <v>50</v>
      </c>
      <c r="H38" s="149">
        <v>0.75</v>
      </c>
      <c r="I38" s="150">
        <v>10.824999999999999</v>
      </c>
      <c r="J38" s="150">
        <v>8.1187499999999986</v>
      </c>
      <c r="K38" s="214">
        <v>4733.5</v>
      </c>
      <c r="L38" s="217" t="s">
        <v>134</v>
      </c>
      <c r="M38" s="212" t="s">
        <v>16</v>
      </c>
      <c r="N38" s="212" t="s">
        <v>18</v>
      </c>
      <c r="O38" s="216" t="s">
        <v>379</v>
      </c>
      <c r="P38" s="216" t="s">
        <v>49</v>
      </c>
    </row>
    <row r="39" spans="1:16" x14ac:dyDescent="0.3">
      <c r="A39" s="146" t="s">
        <v>239</v>
      </c>
      <c r="B39" s="147">
        <v>2008</v>
      </c>
      <c r="C39" s="212" t="s">
        <v>100</v>
      </c>
      <c r="D39" s="147" t="s">
        <v>676</v>
      </c>
      <c r="E39" s="147" t="s">
        <v>309</v>
      </c>
      <c r="F39" s="146" t="s">
        <v>135</v>
      </c>
      <c r="G39" s="148">
        <v>208</v>
      </c>
      <c r="H39" s="149">
        <v>1</v>
      </c>
      <c r="I39" s="150">
        <v>80.099999999999994</v>
      </c>
      <c r="J39" s="150">
        <v>80.099999999999994</v>
      </c>
      <c r="K39" s="214">
        <v>27859</v>
      </c>
      <c r="L39" s="217" t="s">
        <v>134</v>
      </c>
      <c r="M39" s="212" t="s">
        <v>10</v>
      </c>
      <c r="N39" s="212" t="s">
        <v>11</v>
      </c>
      <c r="O39" s="216" t="s">
        <v>379</v>
      </c>
      <c r="P39" s="216" t="s">
        <v>300</v>
      </c>
    </row>
    <row r="40" spans="1:16" x14ac:dyDescent="0.3">
      <c r="A40" s="146">
        <v>158</v>
      </c>
      <c r="B40" s="147">
        <v>2008</v>
      </c>
      <c r="C40" s="212" t="s">
        <v>100</v>
      </c>
      <c r="D40" s="147" t="s">
        <v>292</v>
      </c>
      <c r="E40" s="147" t="s">
        <v>310</v>
      </c>
      <c r="F40" s="146" t="s">
        <v>135</v>
      </c>
      <c r="G40" s="148">
        <v>160</v>
      </c>
      <c r="H40" s="149">
        <v>0.5</v>
      </c>
      <c r="I40" s="150">
        <v>33.200000000000003</v>
      </c>
      <c r="J40" s="150">
        <v>16.600000000000001</v>
      </c>
      <c r="K40" s="214">
        <v>14373.6</v>
      </c>
      <c r="L40" s="217" t="s">
        <v>134</v>
      </c>
      <c r="M40" s="212" t="s">
        <v>16</v>
      </c>
      <c r="N40" s="212" t="s">
        <v>92</v>
      </c>
      <c r="O40" s="216" t="s">
        <v>379</v>
      </c>
      <c r="P40" s="216" t="s">
        <v>300</v>
      </c>
    </row>
    <row r="41" spans="1:16" x14ac:dyDescent="0.3">
      <c r="A41" s="146">
        <v>176</v>
      </c>
      <c r="B41" s="147">
        <v>2008</v>
      </c>
      <c r="C41" s="212" t="s">
        <v>100</v>
      </c>
      <c r="D41" s="147" t="s">
        <v>238</v>
      </c>
      <c r="E41" s="147" t="s">
        <v>303</v>
      </c>
      <c r="F41" s="146" t="s">
        <v>135</v>
      </c>
      <c r="G41" s="148">
        <v>92</v>
      </c>
      <c r="H41" s="149">
        <v>0.6</v>
      </c>
      <c r="I41" s="150">
        <v>38.1</v>
      </c>
      <c r="J41" s="150">
        <v>22.86</v>
      </c>
      <c r="K41" s="214">
        <v>11194</v>
      </c>
      <c r="L41" s="217" t="s">
        <v>134</v>
      </c>
      <c r="M41" s="212" t="s">
        <v>13</v>
      </c>
      <c r="N41" s="212" t="s">
        <v>15</v>
      </c>
      <c r="O41" s="216" t="s">
        <v>379</v>
      </c>
      <c r="P41" s="216" t="s">
        <v>49</v>
      </c>
    </row>
    <row r="42" spans="1:16" x14ac:dyDescent="0.3">
      <c r="A42" s="146">
        <v>181</v>
      </c>
      <c r="B42" s="147">
        <v>2008</v>
      </c>
      <c r="C42" s="212" t="s">
        <v>100</v>
      </c>
      <c r="D42" s="147" t="s">
        <v>236</v>
      </c>
      <c r="E42" s="147" t="s">
        <v>237</v>
      </c>
      <c r="F42" s="146" t="s">
        <v>111</v>
      </c>
      <c r="G42" s="148">
        <v>136</v>
      </c>
      <c r="H42" s="149">
        <v>0.6</v>
      </c>
      <c r="I42" s="150">
        <v>54.7</v>
      </c>
      <c r="J42" s="150">
        <v>32.82</v>
      </c>
      <c r="K42" s="214">
        <v>17919</v>
      </c>
      <c r="L42" s="217" t="s">
        <v>134</v>
      </c>
      <c r="M42" s="212" t="s">
        <v>17</v>
      </c>
      <c r="N42" s="212" t="s">
        <v>91</v>
      </c>
      <c r="O42" s="216" t="s">
        <v>379</v>
      </c>
      <c r="P42" s="216" t="s">
        <v>49</v>
      </c>
    </row>
    <row r="43" spans="1:16" x14ac:dyDescent="0.3">
      <c r="A43" s="146">
        <v>146</v>
      </c>
      <c r="B43" s="147">
        <v>2008</v>
      </c>
      <c r="C43" s="212" t="s">
        <v>100</v>
      </c>
      <c r="D43" s="147" t="s">
        <v>235</v>
      </c>
      <c r="E43" s="147" t="s">
        <v>303</v>
      </c>
      <c r="F43" s="146" t="s">
        <v>135</v>
      </c>
      <c r="G43" s="148">
        <v>176</v>
      </c>
      <c r="H43" s="149">
        <v>1</v>
      </c>
      <c r="I43" s="150">
        <v>87.9</v>
      </c>
      <c r="J43" s="150">
        <v>87.9</v>
      </c>
      <c r="K43" s="214">
        <v>23871</v>
      </c>
      <c r="L43" s="217" t="s">
        <v>134</v>
      </c>
      <c r="M43" s="212" t="s">
        <v>14</v>
      </c>
      <c r="N43" s="212" t="s">
        <v>15</v>
      </c>
      <c r="O43" s="216" t="s">
        <v>379</v>
      </c>
      <c r="P43" s="216" t="s">
        <v>300</v>
      </c>
    </row>
    <row r="44" spans="1:16" x14ac:dyDescent="0.3">
      <c r="A44" s="146">
        <v>179</v>
      </c>
      <c r="B44" s="147">
        <v>2008</v>
      </c>
      <c r="C44" s="212" t="s">
        <v>99</v>
      </c>
      <c r="D44" s="147" t="s">
        <v>234</v>
      </c>
      <c r="E44" s="147" t="s">
        <v>301</v>
      </c>
      <c r="F44" s="146" t="s">
        <v>112</v>
      </c>
      <c r="G44" s="148">
        <v>380</v>
      </c>
      <c r="H44" s="149">
        <v>0.8</v>
      </c>
      <c r="I44" s="150">
        <v>70.400000000000006</v>
      </c>
      <c r="J44" s="150">
        <v>56.320000000000007</v>
      </c>
      <c r="K44" s="214">
        <v>25664</v>
      </c>
      <c r="L44" s="217" t="s">
        <v>134</v>
      </c>
      <c r="M44" s="212" t="s">
        <v>16</v>
      </c>
      <c r="N44" s="212" t="s">
        <v>16</v>
      </c>
      <c r="O44" s="216" t="s">
        <v>379</v>
      </c>
      <c r="P44" s="216" t="s">
        <v>300</v>
      </c>
    </row>
    <row r="45" spans="1:16" x14ac:dyDescent="0.3">
      <c r="A45" s="146" t="s">
        <v>233</v>
      </c>
      <c r="B45" s="147">
        <v>2008</v>
      </c>
      <c r="C45" s="212" t="s">
        <v>99</v>
      </c>
      <c r="D45" s="147" t="s">
        <v>677</v>
      </c>
      <c r="E45" s="147" t="s">
        <v>315</v>
      </c>
      <c r="F45" s="146" t="s">
        <v>135</v>
      </c>
      <c r="G45" s="148">
        <v>720</v>
      </c>
      <c r="H45" s="149">
        <v>1</v>
      </c>
      <c r="I45" s="150">
        <v>152.25</v>
      </c>
      <c r="J45" s="150">
        <v>152.25</v>
      </c>
      <c r="K45" s="214">
        <v>53029</v>
      </c>
      <c r="L45" s="217" t="s">
        <v>134</v>
      </c>
      <c r="M45" s="212" t="s">
        <v>7</v>
      </c>
      <c r="N45" s="212" t="s">
        <v>9</v>
      </c>
      <c r="O45" s="216" t="s">
        <v>379</v>
      </c>
      <c r="P45" s="216" t="s">
        <v>49</v>
      </c>
    </row>
    <row r="46" spans="1:16" x14ac:dyDescent="0.3">
      <c r="A46" s="146">
        <v>180</v>
      </c>
      <c r="B46" s="147">
        <v>2008</v>
      </c>
      <c r="C46" s="212" t="s">
        <v>99</v>
      </c>
      <c r="D46" s="147" t="s">
        <v>232</v>
      </c>
      <c r="E46" s="147" t="s">
        <v>303</v>
      </c>
      <c r="F46" s="146" t="s">
        <v>135</v>
      </c>
      <c r="G46" s="148">
        <v>88</v>
      </c>
      <c r="H46" s="149">
        <v>0.5</v>
      </c>
      <c r="I46" s="150">
        <v>64.8</v>
      </c>
      <c r="J46" s="150">
        <v>32.4</v>
      </c>
      <c r="K46" s="214">
        <v>18020</v>
      </c>
      <c r="L46" s="217" t="s">
        <v>134</v>
      </c>
      <c r="M46" s="212" t="s">
        <v>14</v>
      </c>
      <c r="N46" s="212" t="s">
        <v>14</v>
      </c>
      <c r="O46" s="216" t="s">
        <v>379</v>
      </c>
      <c r="P46" s="216" t="s">
        <v>49</v>
      </c>
    </row>
    <row r="47" spans="1:16" x14ac:dyDescent="0.3">
      <c r="A47" s="146">
        <v>136</v>
      </c>
      <c r="B47" s="147">
        <v>2008</v>
      </c>
      <c r="C47" s="212" t="s">
        <v>99</v>
      </c>
      <c r="D47" s="147" t="s">
        <v>231</v>
      </c>
      <c r="E47" s="147" t="s">
        <v>303</v>
      </c>
      <c r="F47" s="146" t="s">
        <v>135</v>
      </c>
      <c r="G47" s="148">
        <v>88</v>
      </c>
      <c r="H47" s="149">
        <v>0.9</v>
      </c>
      <c r="I47" s="150">
        <v>162.9</v>
      </c>
      <c r="J47" s="150">
        <v>146.61000000000001</v>
      </c>
      <c r="K47" s="214">
        <v>21726.799999999999</v>
      </c>
      <c r="L47" s="217" t="s">
        <v>134</v>
      </c>
      <c r="M47" s="212" t="s">
        <v>1</v>
      </c>
      <c r="N47" s="212" t="s">
        <v>10</v>
      </c>
      <c r="O47" s="216" t="s">
        <v>379</v>
      </c>
      <c r="P47" s="216" t="s">
        <v>300</v>
      </c>
    </row>
    <row r="48" spans="1:16" x14ac:dyDescent="0.3">
      <c r="A48" s="146" t="s">
        <v>230</v>
      </c>
      <c r="B48" s="147">
        <v>2008</v>
      </c>
      <c r="C48" s="212" t="s">
        <v>99</v>
      </c>
      <c r="D48" s="147" t="s">
        <v>678</v>
      </c>
      <c r="E48" s="147" t="s">
        <v>237</v>
      </c>
      <c r="F48" s="146" t="s">
        <v>111</v>
      </c>
      <c r="G48" s="148">
        <v>487</v>
      </c>
      <c r="H48" s="149">
        <v>0.8</v>
      </c>
      <c r="I48" s="150">
        <v>90.8</v>
      </c>
      <c r="J48" s="150">
        <v>72.64</v>
      </c>
      <c r="K48" s="214">
        <v>25781.5</v>
      </c>
      <c r="L48" s="217" t="s">
        <v>134</v>
      </c>
      <c r="M48" s="212" t="s">
        <v>1</v>
      </c>
      <c r="N48" s="212" t="s">
        <v>1</v>
      </c>
      <c r="O48" s="216" t="s">
        <v>379</v>
      </c>
      <c r="P48" s="216" t="s">
        <v>300</v>
      </c>
    </row>
    <row r="49" spans="1:16" x14ac:dyDescent="0.3">
      <c r="A49" s="146">
        <v>145</v>
      </c>
      <c r="B49" s="147">
        <v>2008</v>
      </c>
      <c r="C49" s="212" t="s">
        <v>99</v>
      </c>
      <c r="D49" s="147" t="s">
        <v>229</v>
      </c>
      <c r="E49" s="147" t="s">
        <v>316</v>
      </c>
      <c r="F49" s="146" t="s">
        <v>110</v>
      </c>
      <c r="G49" s="148">
        <v>575</v>
      </c>
      <c r="H49" s="149">
        <v>0.8</v>
      </c>
      <c r="I49" s="150">
        <v>250.1</v>
      </c>
      <c r="J49" s="150">
        <v>200.08</v>
      </c>
      <c r="K49" s="214">
        <v>39832</v>
      </c>
      <c r="L49" s="217" t="s">
        <v>134</v>
      </c>
      <c r="M49" s="212" t="s">
        <v>1</v>
      </c>
      <c r="N49" s="212" t="s">
        <v>11</v>
      </c>
      <c r="O49" s="216" t="s">
        <v>379</v>
      </c>
      <c r="P49" s="216" t="s">
        <v>300</v>
      </c>
    </row>
    <row r="50" spans="1:16" x14ac:dyDescent="0.3">
      <c r="A50" s="146">
        <v>190</v>
      </c>
      <c r="B50" s="147">
        <v>2009</v>
      </c>
      <c r="C50" s="212" t="s">
        <v>98</v>
      </c>
      <c r="D50" s="147" t="s">
        <v>228</v>
      </c>
      <c r="E50" s="147" t="s">
        <v>317</v>
      </c>
      <c r="F50" s="146" t="s">
        <v>112</v>
      </c>
      <c r="G50" s="148">
        <v>174</v>
      </c>
      <c r="H50" s="149">
        <v>0.8</v>
      </c>
      <c r="I50" s="150">
        <v>136.9</v>
      </c>
      <c r="J50" s="150">
        <v>109.52000000000001</v>
      </c>
      <c r="K50" s="214">
        <v>28519</v>
      </c>
      <c r="L50" s="217" t="s">
        <v>134</v>
      </c>
      <c r="M50" s="212" t="s">
        <v>7</v>
      </c>
      <c r="N50" s="212" t="s">
        <v>8</v>
      </c>
      <c r="O50" s="216" t="s">
        <v>379</v>
      </c>
      <c r="P50" s="216" t="s">
        <v>300</v>
      </c>
    </row>
    <row r="51" spans="1:16" x14ac:dyDescent="0.3">
      <c r="A51" s="146" t="s">
        <v>227</v>
      </c>
      <c r="B51" s="147">
        <v>2009</v>
      </c>
      <c r="C51" s="212" t="s">
        <v>98</v>
      </c>
      <c r="D51" s="147" t="s">
        <v>679</v>
      </c>
      <c r="E51" s="147" t="s">
        <v>237</v>
      </c>
      <c r="F51" s="146" t="s">
        <v>111</v>
      </c>
      <c r="G51" s="148">
        <v>487</v>
      </c>
      <c r="H51" s="149">
        <v>0.8</v>
      </c>
      <c r="I51" s="150">
        <v>90.8</v>
      </c>
      <c r="J51" s="150">
        <v>72.64</v>
      </c>
      <c r="K51" s="214">
        <v>25781.5</v>
      </c>
      <c r="L51" s="217" t="s">
        <v>134</v>
      </c>
      <c r="M51" s="212" t="s">
        <v>1</v>
      </c>
      <c r="N51" s="212" t="s">
        <v>1</v>
      </c>
      <c r="O51" s="216" t="s">
        <v>379</v>
      </c>
      <c r="P51" s="216" t="s">
        <v>300</v>
      </c>
    </row>
    <row r="52" spans="1:16" x14ac:dyDescent="0.3">
      <c r="A52" s="146" t="s">
        <v>226</v>
      </c>
      <c r="B52" s="147">
        <v>2009</v>
      </c>
      <c r="C52" s="212" t="s">
        <v>97</v>
      </c>
      <c r="D52" s="147" t="s">
        <v>680</v>
      </c>
      <c r="E52" s="147" t="s">
        <v>318</v>
      </c>
      <c r="F52" s="146" t="s">
        <v>135</v>
      </c>
      <c r="G52" s="148">
        <v>372</v>
      </c>
      <c r="H52" s="149">
        <v>1</v>
      </c>
      <c r="I52" s="150">
        <v>46.460999999999999</v>
      </c>
      <c r="J52" s="150">
        <v>46.460999999999999</v>
      </c>
      <c r="K52" s="214">
        <v>21855.24</v>
      </c>
      <c r="L52" s="217" t="s">
        <v>137</v>
      </c>
      <c r="M52" s="212" t="s">
        <v>7</v>
      </c>
      <c r="N52" s="212" t="s">
        <v>9</v>
      </c>
      <c r="O52" s="216" t="s">
        <v>379</v>
      </c>
      <c r="P52" s="216" t="s">
        <v>300</v>
      </c>
    </row>
    <row r="53" spans="1:16" x14ac:dyDescent="0.3">
      <c r="A53" s="146">
        <v>207</v>
      </c>
      <c r="B53" s="147">
        <v>2009</v>
      </c>
      <c r="C53" s="212" t="s">
        <v>97</v>
      </c>
      <c r="D53" s="147" t="s">
        <v>293</v>
      </c>
      <c r="E53" s="147" t="s">
        <v>319</v>
      </c>
      <c r="F53" s="146" t="s">
        <v>108</v>
      </c>
      <c r="G53" s="148">
        <v>146</v>
      </c>
      <c r="H53" s="149">
        <v>0.4</v>
      </c>
      <c r="I53" s="150">
        <v>46.6</v>
      </c>
      <c r="J53" s="150">
        <v>18.64</v>
      </c>
      <c r="K53" s="214">
        <v>14093</v>
      </c>
      <c r="L53" s="217" t="s">
        <v>134</v>
      </c>
      <c r="M53" s="212" t="s">
        <v>14</v>
      </c>
      <c r="N53" s="212" t="s">
        <v>14</v>
      </c>
      <c r="O53" s="216" t="s">
        <v>379</v>
      </c>
      <c r="P53" s="216" t="s">
        <v>49</v>
      </c>
    </row>
    <row r="54" spans="1:16" x14ac:dyDescent="0.3">
      <c r="A54" s="146" t="s">
        <v>225</v>
      </c>
      <c r="B54" s="147">
        <v>2009</v>
      </c>
      <c r="C54" s="212" t="s">
        <v>96</v>
      </c>
      <c r="D54" s="147" t="s">
        <v>681</v>
      </c>
      <c r="E54" s="147" t="s">
        <v>315</v>
      </c>
      <c r="F54" s="146" t="s">
        <v>135</v>
      </c>
      <c r="G54" s="148">
        <v>353</v>
      </c>
      <c r="H54" s="149">
        <v>0.8</v>
      </c>
      <c r="I54" s="150">
        <v>83.18</v>
      </c>
      <c r="J54" s="150">
        <v>66.544000000000011</v>
      </c>
      <c r="K54" s="214">
        <v>25999</v>
      </c>
      <c r="L54" s="217" t="s">
        <v>134</v>
      </c>
      <c r="M54" s="212" t="s">
        <v>7</v>
      </c>
      <c r="N54" s="212" t="s">
        <v>9</v>
      </c>
      <c r="O54" s="216" t="s">
        <v>379</v>
      </c>
      <c r="P54" s="216" t="s">
        <v>49</v>
      </c>
    </row>
    <row r="55" spans="1:16" x14ac:dyDescent="0.3">
      <c r="A55" s="146" t="s">
        <v>224</v>
      </c>
      <c r="B55" s="147">
        <v>2009</v>
      </c>
      <c r="C55" s="212" t="s">
        <v>96</v>
      </c>
      <c r="D55" s="147" t="s">
        <v>682</v>
      </c>
      <c r="E55" s="147" t="s">
        <v>318</v>
      </c>
      <c r="F55" s="146" t="s">
        <v>135</v>
      </c>
      <c r="G55" s="148">
        <v>72</v>
      </c>
      <c r="H55" s="149">
        <v>1</v>
      </c>
      <c r="I55" s="150">
        <v>13.618</v>
      </c>
      <c r="J55" s="150">
        <v>13.618</v>
      </c>
      <c r="K55" s="214">
        <v>5163.55</v>
      </c>
      <c r="L55" s="217" t="s">
        <v>134</v>
      </c>
      <c r="M55" s="212" t="s">
        <v>8</v>
      </c>
      <c r="N55" s="212" t="s">
        <v>1</v>
      </c>
      <c r="O55" s="216" t="s">
        <v>379</v>
      </c>
      <c r="P55" s="216" t="s">
        <v>300</v>
      </c>
    </row>
    <row r="56" spans="1:16" x14ac:dyDescent="0.3">
      <c r="A56" s="146">
        <v>178</v>
      </c>
      <c r="B56" s="147">
        <v>2009</v>
      </c>
      <c r="C56" s="212" t="s">
        <v>95</v>
      </c>
      <c r="D56" s="147" t="s">
        <v>223</v>
      </c>
      <c r="E56" s="147" t="s">
        <v>303</v>
      </c>
      <c r="F56" s="146" t="s">
        <v>135</v>
      </c>
      <c r="G56" s="148">
        <v>106</v>
      </c>
      <c r="H56" s="149">
        <v>0.33</v>
      </c>
      <c r="I56" s="150">
        <v>75</v>
      </c>
      <c r="J56" s="150">
        <v>24.75</v>
      </c>
      <c r="K56" s="214">
        <v>20203</v>
      </c>
      <c r="L56" s="217" t="s">
        <v>134</v>
      </c>
      <c r="M56" s="212" t="s">
        <v>11</v>
      </c>
      <c r="N56" s="212" t="s">
        <v>11</v>
      </c>
      <c r="O56" s="216" t="s">
        <v>379</v>
      </c>
      <c r="P56" s="216" t="s">
        <v>49</v>
      </c>
    </row>
    <row r="57" spans="1:16" x14ac:dyDescent="0.3">
      <c r="A57" s="146" t="s">
        <v>222</v>
      </c>
      <c r="B57" s="147">
        <v>2010</v>
      </c>
      <c r="C57" s="212" t="s">
        <v>94</v>
      </c>
      <c r="D57" s="147" t="s">
        <v>683</v>
      </c>
      <c r="E57" s="147" t="s">
        <v>318</v>
      </c>
      <c r="F57" s="146" t="s">
        <v>135</v>
      </c>
      <c r="G57" s="148">
        <v>186</v>
      </c>
      <c r="H57" s="149">
        <v>1</v>
      </c>
      <c r="I57" s="150">
        <v>26.190999999999999</v>
      </c>
      <c r="J57" s="150">
        <v>26.190999999999999</v>
      </c>
      <c r="K57" s="214">
        <v>10927.619999999999</v>
      </c>
      <c r="L57" s="217" t="s">
        <v>137</v>
      </c>
      <c r="M57" s="212" t="s">
        <v>7</v>
      </c>
      <c r="N57" s="212" t="s">
        <v>9</v>
      </c>
      <c r="O57" s="216" t="s">
        <v>379</v>
      </c>
      <c r="P57" s="216" t="s">
        <v>300</v>
      </c>
    </row>
    <row r="58" spans="1:16" x14ac:dyDescent="0.3">
      <c r="A58" s="146" t="s">
        <v>221</v>
      </c>
      <c r="B58" s="147">
        <v>2010</v>
      </c>
      <c r="C58" s="212" t="s">
        <v>94</v>
      </c>
      <c r="D58" s="147" t="s">
        <v>684</v>
      </c>
      <c r="E58" s="147" t="s">
        <v>313</v>
      </c>
      <c r="F58" s="146" t="s">
        <v>135</v>
      </c>
      <c r="G58" s="148">
        <v>130</v>
      </c>
      <c r="H58" s="149">
        <v>0.8</v>
      </c>
      <c r="I58" s="150">
        <v>21.925000000000001</v>
      </c>
      <c r="J58" s="150">
        <v>17.540000000000003</v>
      </c>
      <c r="K58" s="214">
        <v>9660.0999999999985</v>
      </c>
      <c r="L58" s="217" t="s">
        <v>137</v>
      </c>
      <c r="M58" s="212" t="s">
        <v>8</v>
      </c>
      <c r="N58" s="212" t="s">
        <v>9</v>
      </c>
      <c r="O58" s="216" t="s">
        <v>379</v>
      </c>
      <c r="P58" s="216" t="s">
        <v>300</v>
      </c>
    </row>
    <row r="59" spans="1:16" x14ac:dyDescent="0.3">
      <c r="A59" s="146" t="s">
        <v>220</v>
      </c>
      <c r="B59" s="147">
        <v>2010</v>
      </c>
      <c r="C59" s="212" t="s">
        <v>94</v>
      </c>
      <c r="D59" s="147" t="s">
        <v>685</v>
      </c>
      <c r="E59" s="147" t="s">
        <v>315</v>
      </c>
      <c r="F59" s="146" t="s">
        <v>135</v>
      </c>
      <c r="G59" s="148">
        <v>362</v>
      </c>
      <c r="H59" s="149">
        <v>0.8</v>
      </c>
      <c r="I59" s="150">
        <v>89.239000000000004</v>
      </c>
      <c r="J59" s="150">
        <v>71.391200000000012</v>
      </c>
      <c r="K59" s="214">
        <v>26662</v>
      </c>
      <c r="L59" s="217" t="s">
        <v>134</v>
      </c>
      <c r="M59" s="212" t="s">
        <v>7</v>
      </c>
      <c r="N59" s="212" t="s">
        <v>9</v>
      </c>
      <c r="O59" s="216" t="s">
        <v>379</v>
      </c>
      <c r="P59" s="216" t="s">
        <v>49</v>
      </c>
    </row>
    <row r="60" spans="1:16" x14ac:dyDescent="0.3">
      <c r="A60" s="146" t="s">
        <v>219</v>
      </c>
      <c r="B60" s="147">
        <v>2010</v>
      </c>
      <c r="C60" s="212" t="s">
        <v>94</v>
      </c>
      <c r="D60" s="147" t="s">
        <v>686</v>
      </c>
      <c r="E60" s="147" t="s">
        <v>318</v>
      </c>
      <c r="F60" s="146" t="s">
        <v>135</v>
      </c>
      <c r="G60" s="148">
        <v>68</v>
      </c>
      <c r="H60" s="149">
        <v>1</v>
      </c>
      <c r="I60" s="150">
        <v>14.977</v>
      </c>
      <c r="J60" s="150">
        <v>14.977</v>
      </c>
      <c r="K60" s="214">
        <v>4876.6879999999992</v>
      </c>
      <c r="L60" s="217" t="s">
        <v>134</v>
      </c>
      <c r="M60" s="212" t="s">
        <v>8</v>
      </c>
      <c r="N60" s="212" t="s">
        <v>1</v>
      </c>
      <c r="O60" s="216" t="s">
        <v>379</v>
      </c>
      <c r="P60" s="216" t="s">
        <v>300</v>
      </c>
    </row>
    <row r="61" spans="1:16" x14ac:dyDescent="0.3">
      <c r="A61" s="146">
        <v>226</v>
      </c>
      <c r="B61" s="147">
        <v>2010</v>
      </c>
      <c r="C61" s="212" t="s">
        <v>94</v>
      </c>
      <c r="D61" s="147" t="s">
        <v>218</v>
      </c>
      <c r="E61" s="147" t="s">
        <v>320</v>
      </c>
      <c r="F61" s="146" t="s">
        <v>135</v>
      </c>
      <c r="G61" s="148">
        <v>536</v>
      </c>
      <c r="H61" s="149">
        <v>0.8</v>
      </c>
      <c r="I61" s="150">
        <v>55.756999999999998</v>
      </c>
      <c r="J61" s="150">
        <v>44.605600000000003</v>
      </c>
      <c r="K61" s="214">
        <v>24886.959999999999</v>
      </c>
      <c r="L61" s="217" t="s">
        <v>137</v>
      </c>
      <c r="M61" s="212" t="s">
        <v>6</v>
      </c>
      <c r="N61" s="212" t="s">
        <v>9</v>
      </c>
      <c r="O61" s="216" t="s">
        <v>379</v>
      </c>
      <c r="P61" s="216" t="s">
        <v>300</v>
      </c>
    </row>
    <row r="62" spans="1:16" x14ac:dyDescent="0.3">
      <c r="A62" s="146">
        <v>150</v>
      </c>
      <c r="B62" s="147">
        <v>2010</v>
      </c>
      <c r="C62" s="212" t="s">
        <v>93</v>
      </c>
      <c r="D62" s="147" t="s">
        <v>217</v>
      </c>
      <c r="E62" s="147" t="s">
        <v>303</v>
      </c>
      <c r="F62" s="146" t="s">
        <v>135</v>
      </c>
      <c r="G62" s="148">
        <v>110</v>
      </c>
      <c r="H62" s="149">
        <v>1</v>
      </c>
      <c r="I62" s="150">
        <v>65.768000000000001</v>
      </c>
      <c r="J62" s="150">
        <v>65.768000000000001</v>
      </c>
      <c r="K62" s="214">
        <v>13574</v>
      </c>
      <c r="L62" s="217" t="s">
        <v>134</v>
      </c>
      <c r="M62" s="212" t="s">
        <v>11</v>
      </c>
      <c r="N62" s="212" t="s">
        <v>11</v>
      </c>
      <c r="O62" s="216" t="s">
        <v>379</v>
      </c>
      <c r="P62" s="216" t="s">
        <v>300</v>
      </c>
    </row>
    <row r="63" spans="1:16" x14ac:dyDescent="0.3">
      <c r="A63" s="146" t="s">
        <v>216</v>
      </c>
      <c r="B63" s="147">
        <v>2010</v>
      </c>
      <c r="C63" s="212" t="s">
        <v>93</v>
      </c>
      <c r="D63" s="147" t="s">
        <v>687</v>
      </c>
      <c r="E63" s="147" t="s">
        <v>313</v>
      </c>
      <c r="F63" s="146" t="s">
        <v>135</v>
      </c>
      <c r="G63" s="148">
        <v>184</v>
      </c>
      <c r="H63" s="149">
        <v>0.8</v>
      </c>
      <c r="I63" s="150">
        <v>32.506999999999998</v>
      </c>
      <c r="J63" s="150">
        <v>26.005600000000001</v>
      </c>
      <c r="K63" s="214">
        <v>13549.54</v>
      </c>
      <c r="L63" s="217" t="s">
        <v>137</v>
      </c>
      <c r="M63" s="212" t="s">
        <v>4</v>
      </c>
      <c r="N63" s="212" t="s">
        <v>6</v>
      </c>
      <c r="O63" s="216" t="s">
        <v>379</v>
      </c>
      <c r="P63" s="216" t="s">
        <v>300</v>
      </c>
    </row>
    <row r="64" spans="1:16" x14ac:dyDescent="0.3">
      <c r="A64" s="146">
        <v>206</v>
      </c>
      <c r="B64" s="147">
        <v>2010</v>
      </c>
      <c r="C64" s="212" t="s">
        <v>93</v>
      </c>
      <c r="D64" s="147" t="s">
        <v>215</v>
      </c>
      <c r="E64" s="147" t="s">
        <v>309</v>
      </c>
      <c r="F64" s="146" t="s">
        <v>135</v>
      </c>
      <c r="G64" s="148">
        <v>342</v>
      </c>
      <c r="H64" s="149">
        <v>1</v>
      </c>
      <c r="I64" s="150">
        <v>81.409000000000006</v>
      </c>
      <c r="J64" s="150">
        <v>81.409000000000006</v>
      </c>
      <c r="K64" s="214">
        <v>14722.72</v>
      </c>
      <c r="L64" s="217" t="s">
        <v>134</v>
      </c>
      <c r="M64" s="212" t="s">
        <v>6</v>
      </c>
      <c r="N64" s="212" t="s">
        <v>7</v>
      </c>
      <c r="O64" s="216" t="s">
        <v>379</v>
      </c>
      <c r="P64" s="216" t="s">
        <v>300</v>
      </c>
    </row>
    <row r="65" spans="1:16" x14ac:dyDescent="0.3">
      <c r="A65" s="146">
        <v>229</v>
      </c>
      <c r="B65" s="147">
        <v>2010</v>
      </c>
      <c r="C65" s="212" t="s">
        <v>93</v>
      </c>
      <c r="D65" s="147" t="s">
        <v>214</v>
      </c>
      <c r="E65" s="147" t="s">
        <v>321</v>
      </c>
      <c r="F65" s="146" t="s">
        <v>135</v>
      </c>
      <c r="G65" s="148">
        <v>251</v>
      </c>
      <c r="H65" s="149">
        <v>1</v>
      </c>
      <c r="I65" s="150">
        <v>59.865000000000002</v>
      </c>
      <c r="J65" s="150">
        <v>59.865000000000002</v>
      </c>
      <c r="K65" s="214">
        <v>18754.41</v>
      </c>
      <c r="L65" s="217" t="s">
        <v>137</v>
      </c>
      <c r="M65" s="212" t="s">
        <v>6</v>
      </c>
      <c r="N65" s="212" t="s">
        <v>7</v>
      </c>
      <c r="O65" s="216" t="s">
        <v>379</v>
      </c>
      <c r="P65" s="216" t="s">
        <v>300</v>
      </c>
    </row>
    <row r="66" spans="1:16" x14ac:dyDescent="0.3">
      <c r="A66" s="146">
        <v>254</v>
      </c>
      <c r="B66" s="147">
        <v>2010</v>
      </c>
      <c r="C66" s="212" t="s">
        <v>93</v>
      </c>
      <c r="D66" s="147" t="s">
        <v>213</v>
      </c>
      <c r="E66" s="147" t="s">
        <v>320</v>
      </c>
      <c r="F66" s="146" t="s">
        <v>135</v>
      </c>
      <c r="G66" s="148">
        <v>268</v>
      </c>
      <c r="H66" s="149">
        <v>0.8</v>
      </c>
      <c r="I66" s="150">
        <v>35.216999999999999</v>
      </c>
      <c r="J66" s="150">
        <v>28.1736</v>
      </c>
      <c r="K66" s="214">
        <v>14862.919999999998</v>
      </c>
      <c r="L66" s="217" t="s">
        <v>137</v>
      </c>
      <c r="M66" s="212" t="s">
        <v>6</v>
      </c>
      <c r="N66" s="212" t="s">
        <v>9</v>
      </c>
      <c r="O66" s="216" t="s">
        <v>379</v>
      </c>
      <c r="P66" s="216" t="s">
        <v>300</v>
      </c>
    </row>
    <row r="67" spans="1:16" x14ac:dyDescent="0.3">
      <c r="A67" s="146">
        <v>220</v>
      </c>
      <c r="B67" s="147">
        <v>2010</v>
      </c>
      <c r="C67" s="212" t="s">
        <v>92</v>
      </c>
      <c r="D67" s="147" t="s">
        <v>212</v>
      </c>
      <c r="E67" s="147" t="s">
        <v>321</v>
      </c>
      <c r="F67" s="146" t="s">
        <v>135</v>
      </c>
      <c r="G67" s="148">
        <v>263</v>
      </c>
      <c r="H67" s="149">
        <v>1</v>
      </c>
      <c r="I67" s="150">
        <v>42.49</v>
      </c>
      <c r="J67" s="150">
        <v>42.49</v>
      </c>
      <c r="K67" s="214">
        <v>14859.71</v>
      </c>
      <c r="L67" s="217" t="s">
        <v>137</v>
      </c>
      <c r="M67" s="212" t="s">
        <v>6</v>
      </c>
      <c r="N67" s="212" t="s">
        <v>9</v>
      </c>
      <c r="O67" s="216" t="s">
        <v>379</v>
      </c>
      <c r="P67" s="216" t="s">
        <v>300</v>
      </c>
    </row>
    <row r="68" spans="1:16" x14ac:dyDescent="0.3">
      <c r="A68" s="146" t="s">
        <v>211</v>
      </c>
      <c r="B68" s="147">
        <v>2010</v>
      </c>
      <c r="C68" s="212" t="s">
        <v>92</v>
      </c>
      <c r="D68" s="147" t="s">
        <v>688</v>
      </c>
      <c r="E68" s="147" t="s">
        <v>313</v>
      </c>
      <c r="F68" s="146" t="s">
        <v>135</v>
      </c>
      <c r="G68" s="148">
        <v>172</v>
      </c>
      <c r="H68" s="149">
        <v>0.8</v>
      </c>
      <c r="I68" s="150">
        <v>32.070999999999998</v>
      </c>
      <c r="J68" s="150">
        <v>25.6568</v>
      </c>
      <c r="K68" s="214">
        <v>12352.72</v>
      </c>
      <c r="L68" s="217" t="s">
        <v>137</v>
      </c>
      <c r="M68" s="212" t="s">
        <v>4</v>
      </c>
      <c r="N68" s="212" t="s">
        <v>6</v>
      </c>
      <c r="O68" s="216" t="s">
        <v>379</v>
      </c>
      <c r="P68" s="216" t="s">
        <v>300</v>
      </c>
    </row>
    <row r="69" spans="1:16" x14ac:dyDescent="0.3">
      <c r="A69" s="146">
        <v>189</v>
      </c>
      <c r="B69" s="147">
        <v>2010</v>
      </c>
      <c r="C69" s="212" t="s">
        <v>92</v>
      </c>
      <c r="D69" s="147" t="s">
        <v>210</v>
      </c>
      <c r="E69" s="147" t="s">
        <v>315</v>
      </c>
      <c r="F69" s="146" t="s">
        <v>135</v>
      </c>
      <c r="G69" s="148">
        <v>200</v>
      </c>
      <c r="H69" s="149">
        <v>0.8</v>
      </c>
      <c r="I69" s="150">
        <v>123.94199999999999</v>
      </c>
      <c r="J69" s="150">
        <v>99.153599999999997</v>
      </c>
      <c r="K69" s="214">
        <v>31162</v>
      </c>
      <c r="L69" s="217" t="s">
        <v>134</v>
      </c>
      <c r="M69" s="212" t="s">
        <v>5</v>
      </c>
      <c r="N69" s="212" t="s">
        <v>6</v>
      </c>
      <c r="O69" s="216" t="s">
        <v>379</v>
      </c>
      <c r="P69" s="216" t="s">
        <v>49</v>
      </c>
    </row>
    <row r="70" spans="1:16" x14ac:dyDescent="0.3">
      <c r="A70" s="146">
        <v>240</v>
      </c>
      <c r="B70" s="147">
        <v>2010</v>
      </c>
      <c r="C70" s="212" t="s">
        <v>92</v>
      </c>
      <c r="D70" s="147" t="s">
        <v>209</v>
      </c>
      <c r="E70" s="147" t="s">
        <v>237</v>
      </c>
      <c r="F70" s="146" t="s">
        <v>111</v>
      </c>
      <c r="G70" s="148">
        <v>468</v>
      </c>
      <c r="H70" s="149">
        <v>0.95</v>
      </c>
      <c r="I70" s="150">
        <v>193.863</v>
      </c>
      <c r="J70" s="150">
        <v>184.16985</v>
      </c>
      <c r="K70" s="214">
        <v>38541.24</v>
      </c>
      <c r="L70" s="217" t="s">
        <v>134</v>
      </c>
      <c r="M70" s="212" t="s">
        <v>4</v>
      </c>
      <c r="N70" s="212" t="s">
        <v>4</v>
      </c>
      <c r="O70" s="216" t="s">
        <v>379</v>
      </c>
      <c r="P70" s="216" t="s">
        <v>300</v>
      </c>
    </row>
    <row r="71" spans="1:16" x14ac:dyDescent="0.3">
      <c r="A71" s="146" t="s">
        <v>208</v>
      </c>
      <c r="B71" s="147">
        <v>2010</v>
      </c>
      <c r="C71" s="212" t="s">
        <v>92</v>
      </c>
      <c r="D71" s="147" t="s">
        <v>689</v>
      </c>
      <c r="E71" s="147" t="s">
        <v>309</v>
      </c>
      <c r="F71" s="146" t="s">
        <v>135</v>
      </c>
      <c r="G71" s="148">
        <v>208</v>
      </c>
      <c r="H71" s="149">
        <v>1</v>
      </c>
      <c r="I71" s="150">
        <v>98.224000000000004</v>
      </c>
      <c r="J71" s="150">
        <v>98.224000000000004</v>
      </c>
      <c r="K71" s="214">
        <v>27859</v>
      </c>
      <c r="L71" s="217" t="s">
        <v>134</v>
      </c>
      <c r="M71" s="212" t="s">
        <v>10</v>
      </c>
      <c r="N71" s="212" t="s">
        <v>11</v>
      </c>
      <c r="O71" s="216" t="s">
        <v>379</v>
      </c>
      <c r="P71" s="216" t="s">
        <v>300</v>
      </c>
    </row>
    <row r="72" spans="1:16" x14ac:dyDescent="0.3">
      <c r="A72" s="146">
        <v>227</v>
      </c>
      <c r="B72" s="147">
        <v>2010</v>
      </c>
      <c r="C72" s="212" t="s">
        <v>92</v>
      </c>
      <c r="D72" s="147" t="s">
        <v>175</v>
      </c>
      <c r="E72" s="147" t="s">
        <v>255</v>
      </c>
      <c r="F72" s="146" t="s">
        <v>113</v>
      </c>
      <c r="G72" s="148">
        <v>376</v>
      </c>
      <c r="H72" s="149">
        <v>0.7</v>
      </c>
      <c r="I72" s="150">
        <v>99.331999999999994</v>
      </c>
      <c r="J72" s="150">
        <v>69.532399999999996</v>
      </c>
      <c r="K72" s="214">
        <v>30097.71</v>
      </c>
      <c r="L72" s="217" t="s">
        <v>137</v>
      </c>
      <c r="M72" s="212" t="s">
        <v>1</v>
      </c>
      <c r="N72" s="212" t="s">
        <v>10</v>
      </c>
      <c r="O72" s="216" t="s">
        <v>379</v>
      </c>
      <c r="P72" s="216" t="s">
        <v>300</v>
      </c>
    </row>
    <row r="73" spans="1:16" x14ac:dyDescent="0.3">
      <c r="A73" s="146">
        <v>255</v>
      </c>
      <c r="B73" s="147">
        <v>2010</v>
      </c>
      <c r="C73" s="212" t="s">
        <v>92</v>
      </c>
      <c r="D73" s="147" t="s">
        <v>207</v>
      </c>
      <c r="E73" s="147" t="s">
        <v>320</v>
      </c>
      <c r="F73" s="146" t="s">
        <v>135</v>
      </c>
      <c r="G73" s="148">
        <v>536</v>
      </c>
      <c r="H73" s="149">
        <v>0.8</v>
      </c>
      <c r="I73" s="150">
        <v>59.322000000000003</v>
      </c>
      <c r="J73" s="150">
        <v>47.457600000000006</v>
      </c>
      <c r="K73" s="214">
        <v>24886.959999999999</v>
      </c>
      <c r="L73" s="217" t="s">
        <v>137</v>
      </c>
      <c r="M73" s="212" t="s">
        <v>4</v>
      </c>
      <c r="N73" s="212" t="s">
        <v>5</v>
      </c>
      <c r="O73" s="216" t="s">
        <v>379</v>
      </c>
      <c r="P73" s="216" t="s">
        <v>300</v>
      </c>
    </row>
    <row r="74" spans="1:16" x14ac:dyDescent="0.3">
      <c r="A74" s="146">
        <v>249</v>
      </c>
      <c r="B74" s="147">
        <v>2010</v>
      </c>
      <c r="C74" s="212" t="s">
        <v>91</v>
      </c>
      <c r="D74" s="147" t="s">
        <v>206</v>
      </c>
      <c r="E74" s="147" t="s">
        <v>319</v>
      </c>
      <c r="F74" s="146" t="s">
        <v>108</v>
      </c>
      <c r="G74" s="148">
        <v>149</v>
      </c>
      <c r="H74" s="149">
        <v>0.35</v>
      </c>
      <c r="I74" s="150">
        <v>110.857</v>
      </c>
      <c r="J74" s="150">
        <v>38.799949999999995</v>
      </c>
      <c r="K74" s="214">
        <v>19174.38</v>
      </c>
      <c r="L74" s="217" t="s">
        <v>134</v>
      </c>
      <c r="M74" s="212" t="s">
        <v>7</v>
      </c>
      <c r="N74" s="212" t="s">
        <v>8</v>
      </c>
      <c r="O74" s="216" t="s">
        <v>379</v>
      </c>
      <c r="P74" s="216" t="s">
        <v>49</v>
      </c>
    </row>
    <row r="75" spans="1:16" x14ac:dyDescent="0.3">
      <c r="A75" s="146" t="s">
        <v>204</v>
      </c>
      <c r="B75" s="147">
        <v>2010</v>
      </c>
      <c r="C75" s="212" t="s">
        <v>91</v>
      </c>
      <c r="D75" s="147" t="s">
        <v>690</v>
      </c>
      <c r="E75" s="147" t="s">
        <v>322</v>
      </c>
      <c r="F75" s="146" t="s">
        <v>111</v>
      </c>
      <c r="G75" s="148">
        <v>582</v>
      </c>
      <c r="H75" s="149">
        <v>0.95</v>
      </c>
      <c r="I75" s="150">
        <v>164.61600000000001</v>
      </c>
      <c r="J75" s="150">
        <v>156.3852</v>
      </c>
      <c r="K75" s="214">
        <v>31138.65</v>
      </c>
      <c r="L75" s="217" t="s">
        <v>134</v>
      </c>
      <c r="M75" s="212" t="s">
        <v>530</v>
      </c>
      <c r="N75" s="212" t="s">
        <v>377</v>
      </c>
      <c r="O75" s="216" t="s">
        <v>379</v>
      </c>
      <c r="P75" s="216" t="s">
        <v>300</v>
      </c>
    </row>
    <row r="76" spans="1:16" x14ac:dyDescent="0.3">
      <c r="A76" s="146" t="s">
        <v>203</v>
      </c>
      <c r="B76" s="147">
        <v>2010</v>
      </c>
      <c r="C76" s="212" t="s">
        <v>91</v>
      </c>
      <c r="D76" s="147" t="s">
        <v>691</v>
      </c>
      <c r="E76" s="147" t="s">
        <v>322</v>
      </c>
      <c r="F76" s="146" t="s">
        <v>111</v>
      </c>
      <c r="G76" s="148">
        <v>582</v>
      </c>
      <c r="H76" s="149">
        <v>0.95</v>
      </c>
      <c r="I76" s="150">
        <v>159.46700000000001</v>
      </c>
      <c r="J76" s="150">
        <v>151.49365</v>
      </c>
      <c r="K76" s="214">
        <v>30164.52</v>
      </c>
      <c r="L76" s="217" t="s">
        <v>134</v>
      </c>
      <c r="M76" s="212" t="s">
        <v>530</v>
      </c>
      <c r="N76" s="212" t="s">
        <v>377</v>
      </c>
      <c r="O76" s="216" t="s">
        <v>379</v>
      </c>
      <c r="P76" s="216" t="s">
        <v>300</v>
      </c>
    </row>
    <row r="77" spans="1:16" x14ac:dyDescent="0.3">
      <c r="A77" s="146" t="s">
        <v>205</v>
      </c>
      <c r="B77" s="147">
        <v>2010</v>
      </c>
      <c r="C77" s="212" t="s">
        <v>91</v>
      </c>
      <c r="D77" s="147" t="s">
        <v>692</v>
      </c>
      <c r="E77" s="147" t="s">
        <v>322</v>
      </c>
      <c r="F77" s="146" t="s">
        <v>111</v>
      </c>
      <c r="G77" s="148">
        <v>122</v>
      </c>
      <c r="H77" s="149">
        <v>0.95</v>
      </c>
      <c r="I77" s="150">
        <v>70.260999999999996</v>
      </c>
      <c r="J77" s="150">
        <v>66.747949999999989</v>
      </c>
      <c r="K77" s="214">
        <v>13827.82</v>
      </c>
      <c r="L77" s="217" t="s">
        <v>134</v>
      </c>
      <c r="M77" s="212" t="s">
        <v>530</v>
      </c>
      <c r="N77" s="212" t="s">
        <v>372</v>
      </c>
      <c r="O77" s="216" t="s">
        <v>379</v>
      </c>
      <c r="P77" s="216" t="s">
        <v>300</v>
      </c>
    </row>
    <row r="78" spans="1:16" x14ac:dyDescent="0.3">
      <c r="A78" s="146">
        <v>234</v>
      </c>
      <c r="B78" s="147">
        <v>2010</v>
      </c>
      <c r="C78" s="212" t="s">
        <v>91</v>
      </c>
      <c r="D78" s="147" t="s">
        <v>202</v>
      </c>
      <c r="E78" s="147" t="s">
        <v>303</v>
      </c>
      <c r="F78" s="146" t="s">
        <v>135</v>
      </c>
      <c r="G78" s="148">
        <v>64</v>
      </c>
      <c r="H78" s="149">
        <v>1</v>
      </c>
      <c r="I78" s="150">
        <v>53.5</v>
      </c>
      <c r="J78" s="150">
        <v>53.5</v>
      </c>
      <c r="K78" s="214">
        <v>8465</v>
      </c>
      <c r="L78" s="217" t="s">
        <v>134</v>
      </c>
      <c r="M78" s="212" t="s">
        <v>1</v>
      </c>
      <c r="N78" s="212" t="s">
        <v>10</v>
      </c>
      <c r="O78" s="216" t="s">
        <v>379</v>
      </c>
      <c r="P78" s="216" t="s">
        <v>300</v>
      </c>
    </row>
    <row r="79" spans="1:16" x14ac:dyDescent="0.3">
      <c r="A79" s="146" t="s">
        <v>340</v>
      </c>
      <c r="B79" s="147">
        <v>2010</v>
      </c>
      <c r="C79" s="212" t="s">
        <v>91</v>
      </c>
      <c r="D79" s="147" t="s">
        <v>693</v>
      </c>
      <c r="E79" s="147" t="s">
        <v>323</v>
      </c>
      <c r="F79" s="146" t="s">
        <v>110</v>
      </c>
      <c r="G79" s="148">
        <v>117</v>
      </c>
      <c r="H79" s="149">
        <v>0.25</v>
      </c>
      <c r="I79" s="150">
        <v>69</v>
      </c>
      <c r="J79" s="150">
        <v>17.25</v>
      </c>
      <c r="K79" s="214">
        <v>14560</v>
      </c>
      <c r="L79" s="217" t="s">
        <v>134</v>
      </c>
      <c r="M79" s="212" t="s">
        <v>3</v>
      </c>
      <c r="N79" s="212" t="s">
        <v>6</v>
      </c>
      <c r="O79" s="216" t="s">
        <v>379</v>
      </c>
      <c r="P79" s="216" t="s">
        <v>49</v>
      </c>
    </row>
    <row r="80" spans="1:16" x14ac:dyDescent="0.3">
      <c r="A80" s="146" t="s">
        <v>341</v>
      </c>
      <c r="B80" s="147">
        <v>2010</v>
      </c>
      <c r="C80" s="212" t="s">
        <v>91</v>
      </c>
      <c r="D80" s="147" t="s">
        <v>694</v>
      </c>
      <c r="E80" s="147" t="s">
        <v>323</v>
      </c>
      <c r="F80" s="146" t="s">
        <v>110</v>
      </c>
      <c r="G80" s="148">
        <v>98</v>
      </c>
      <c r="H80" s="149">
        <v>0.25</v>
      </c>
      <c r="I80" s="150">
        <v>60.4</v>
      </c>
      <c r="J80" s="150">
        <v>15.1</v>
      </c>
      <c r="K80" s="214">
        <v>12743.844999999999</v>
      </c>
      <c r="L80" s="217" t="s">
        <v>134</v>
      </c>
      <c r="M80" s="212" t="s">
        <v>3</v>
      </c>
      <c r="N80" s="212" t="s">
        <v>5</v>
      </c>
      <c r="O80" s="216" t="s">
        <v>379</v>
      </c>
      <c r="P80" s="216" t="s">
        <v>49</v>
      </c>
    </row>
    <row r="81" spans="1:16" x14ac:dyDescent="0.3">
      <c r="A81" s="146" t="s">
        <v>342</v>
      </c>
      <c r="B81" s="147">
        <v>2010</v>
      </c>
      <c r="C81" s="212" t="s">
        <v>91</v>
      </c>
      <c r="D81" s="147" t="s">
        <v>695</v>
      </c>
      <c r="E81" s="147" t="s">
        <v>323</v>
      </c>
      <c r="F81" s="146" t="s">
        <v>110</v>
      </c>
      <c r="G81" s="148">
        <v>98</v>
      </c>
      <c r="H81" s="149">
        <v>0.25</v>
      </c>
      <c r="I81" s="150">
        <v>60.4</v>
      </c>
      <c r="J81" s="150">
        <v>15.1</v>
      </c>
      <c r="K81" s="214">
        <v>12743.844999999999</v>
      </c>
      <c r="L81" s="217" t="s">
        <v>134</v>
      </c>
      <c r="M81" s="212" t="s">
        <v>3</v>
      </c>
      <c r="N81" s="212" t="s">
        <v>4</v>
      </c>
      <c r="O81" s="216" t="s">
        <v>379</v>
      </c>
      <c r="P81" s="216" t="s">
        <v>49</v>
      </c>
    </row>
    <row r="82" spans="1:16" x14ac:dyDescent="0.3">
      <c r="A82" s="146" t="s">
        <v>201</v>
      </c>
      <c r="B82" s="147">
        <v>2010</v>
      </c>
      <c r="C82" s="212" t="s">
        <v>91</v>
      </c>
      <c r="D82" s="147" t="s">
        <v>696</v>
      </c>
      <c r="E82" s="147" t="s">
        <v>318</v>
      </c>
      <c r="F82" s="146" t="s">
        <v>135</v>
      </c>
      <c r="G82" s="148">
        <v>248</v>
      </c>
      <c r="H82" s="149">
        <v>1</v>
      </c>
      <c r="I82" s="150">
        <v>39.051000000000002</v>
      </c>
      <c r="J82" s="150">
        <v>39.051000000000002</v>
      </c>
      <c r="K82" s="214">
        <v>14570.16</v>
      </c>
      <c r="L82" s="217" t="s">
        <v>137</v>
      </c>
      <c r="M82" s="212" t="s">
        <v>6</v>
      </c>
      <c r="N82" s="212" t="s">
        <v>8</v>
      </c>
      <c r="O82" s="216" t="s">
        <v>379</v>
      </c>
      <c r="P82" s="216" t="s">
        <v>300</v>
      </c>
    </row>
    <row r="83" spans="1:16" x14ac:dyDescent="0.3">
      <c r="A83" s="146" t="s">
        <v>200</v>
      </c>
      <c r="B83" s="147">
        <v>2010</v>
      </c>
      <c r="C83" s="212" t="s">
        <v>91</v>
      </c>
      <c r="D83" s="147" t="s">
        <v>697</v>
      </c>
      <c r="E83" s="147" t="s">
        <v>318</v>
      </c>
      <c r="F83" s="146" t="s">
        <v>135</v>
      </c>
      <c r="G83" s="148">
        <v>310</v>
      </c>
      <c r="H83" s="149">
        <v>1</v>
      </c>
      <c r="I83" s="150">
        <v>48.814</v>
      </c>
      <c r="J83" s="150">
        <v>48.814</v>
      </c>
      <c r="K83" s="214">
        <v>18212.7</v>
      </c>
      <c r="L83" s="217" t="s">
        <v>137</v>
      </c>
      <c r="M83" s="212" t="s">
        <v>6</v>
      </c>
      <c r="N83" s="212" t="s">
        <v>8</v>
      </c>
      <c r="O83" s="216" t="s">
        <v>379</v>
      </c>
      <c r="P83" s="216" t="s">
        <v>300</v>
      </c>
    </row>
    <row r="84" spans="1:16" x14ac:dyDescent="0.3">
      <c r="A84" s="146" t="s">
        <v>199</v>
      </c>
      <c r="B84" s="147">
        <v>2010</v>
      </c>
      <c r="C84" s="212" t="s">
        <v>91</v>
      </c>
      <c r="D84" s="147" t="s">
        <v>698</v>
      </c>
      <c r="E84" s="147" t="s">
        <v>312</v>
      </c>
      <c r="F84" s="146" t="s">
        <v>135</v>
      </c>
      <c r="G84" s="148">
        <v>456</v>
      </c>
      <c r="H84" s="149">
        <v>1</v>
      </c>
      <c r="I84" s="150">
        <v>142</v>
      </c>
      <c r="J84" s="150">
        <v>142</v>
      </c>
      <c r="K84" s="214">
        <v>35948.305</v>
      </c>
      <c r="L84" s="217" t="s">
        <v>134</v>
      </c>
      <c r="M84" s="212" t="s">
        <v>4</v>
      </c>
      <c r="N84" s="212" t="s">
        <v>5</v>
      </c>
      <c r="O84" s="216" t="s">
        <v>379</v>
      </c>
      <c r="P84" s="216" t="s">
        <v>300</v>
      </c>
    </row>
    <row r="85" spans="1:16" x14ac:dyDescent="0.3">
      <c r="A85" s="146" t="s">
        <v>198</v>
      </c>
      <c r="B85" s="147">
        <v>2010</v>
      </c>
      <c r="C85" s="212" t="s">
        <v>91</v>
      </c>
      <c r="D85" s="147" t="s">
        <v>699</v>
      </c>
      <c r="E85" s="147" t="s">
        <v>311</v>
      </c>
      <c r="F85" s="146" t="s">
        <v>135</v>
      </c>
      <c r="G85" s="148">
        <v>434</v>
      </c>
      <c r="H85" s="149">
        <v>1</v>
      </c>
      <c r="I85" s="150">
        <v>96.524000000000001</v>
      </c>
      <c r="J85" s="150">
        <v>96.524000000000001</v>
      </c>
      <c r="K85" s="214">
        <v>30328.37</v>
      </c>
      <c r="L85" s="217" t="s">
        <v>137</v>
      </c>
      <c r="M85" s="212" t="s">
        <v>5</v>
      </c>
      <c r="N85" s="212" t="s">
        <v>6</v>
      </c>
      <c r="O85" s="216" t="s">
        <v>379</v>
      </c>
      <c r="P85" s="216" t="s">
        <v>300</v>
      </c>
    </row>
    <row r="86" spans="1:16" x14ac:dyDescent="0.3">
      <c r="A86" s="146" t="s">
        <v>197</v>
      </c>
      <c r="B86" s="147">
        <v>2010</v>
      </c>
      <c r="C86" s="212" t="s">
        <v>91</v>
      </c>
      <c r="D86" s="147" t="s">
        <v>700</v>
      </c>
      <c r="E86" s="147" t="s">
        <v>311</v>
      </c>
      <c r="F86" s="146" t="s">
        <v>135</v>
      </c>
      <c r="G86" s="148">
        <v>292</v>
      </c>
      <c r="H86" s="149">
        <v>1</v>
      </c>
      <c r="I86" s="150">
        <v>65.188999999999993</v>
      </c>
      <c r="J86" s="150">
        <v>65.188999999999993</v>
      </c>
      <c r="K86" s="214">
        <v>20482.63</v>
      </c>
      <c r="L86" s="217" t="s">
        <v>137</v>
      </c>
      <c r="M86" s="212" t="s">
        <v>5</v>
      </c>
      <c r="N86" s="212" t="s">
        <v>6</v>
      </c>
      <c r="O86" s="216" t="s">
        <v>379</v>
      </c>
      <c r="P86" s="216" t="s">
        <v>300</v>
      </c>
    </row>
    <row r="87" spans="1:16" x14ac:dyDescent="0.3">
      <c r="A87" s="146">
        <v>256</v>
      </c>
      <c r="B87" s="147">
        <v>2010</v>
      </c>
      <c r="C87" s="212" t="s">
        <v>91</v>
      </c>
      <c r="D87" s="147" t="s">
        <v>196</v>
      </c>
      <c r="E87" s="147" t="s">
        <v>320</v>
      </c>
      <c r="F87" s="146" t="s">
        <v>135</v>
      </c>
      <c r="G87" s="148">
        <v>402</v>
      </c>
      <c r="H87" s="149">
        <v>0.8</v>
      </c>
      <c r="I87" s="150">
        <v>44.64</v>
      </c>
      <c r="J87" s="150">
        <v>35.712000000000003</v>
      </c>
      <c r="K87" s="214">
        <v>18665.22</v>
      </c>
      <c r="L87" s="217" t="s">
        <v>137</v>
      </c>
      <c r="M87" s="212" t="s">
        <v>3</v>
      </c>
      <c r="N87" s="212" t="s">
        <v>5</v>
      </c>
      <c r="O87" s="216" t="s">
        <v>379</v>
      </c>
      <c r="P87" s="216" t="s">
        <v>300</v>
      </c>
    </row>
    <row r="88" spans="1:16" x14ac:dyDescent="0.3">
      <c r="A88" s="146">
        <v>223</v>
      </c>
      <c r="B88" s="147">
        <v>2010</v>
      </c>
      <c r="C88" s="212" t="s">
        <v>91</v>
      </c>
      <c r="D88" s="147" t="s">
        <v>195</v>
      </c>
      <c r="E88" s="147" t="s">
        <v>311</v>
      </c>
      <c r="F88" s="146" t="s">
        <v>135</v>
      </c>
      <c r="G88" s="148">
        <v>176</v>
      </c>
      <c r="H88" s="149">
        <v>1</v>
      </c>
      <c r="I88" s="150">
        <v>109.679</v>
      </c>
      <c r="J88" s="150">
        <v>109.679</v>
      </c>
      <c r="K88" s="214">
        <v>28123</v>
      </c>
      <c r="L88" s="217" t="s">
        <v>134</v>
      </c>
      <c r="M88" s="212" t="s">
        <v>5</v>
      </c>
      <c r="N88" s="212" t="s">
        <v>6</v>
      </c>
      <c r="O88" s="216" t="s">
        <v>379</v>
      </c>
      <c r="P88" s="216" t="s">
        <v>300</v>
      </c>
    </row>
    <row r="89" spans="1:16" x14ac:dyDescent="0.3">
      <c r="A89" s="146" t="s">
        <v>194</v>
      </c>
      <c r="B89" s="147">
        <v>2011</v>
      </c>
      <c r="C89" s="212" t="s">
        <v>19</v>
      </c>
      <c r="D89" s="147" t="s">
        <v>701</v>
      </c>
      <c r="E89" s="147" t="s">
        <v>319</v>
      </c>
      <c r="F89" s="146" t="s">
        <v>108</v>
      </c>
      <c r="G89" s="148">
        <v>94</v>
      </c>
      <c r="H89" s="149">
        <v>1</v>
      </c>
      <c r="I89" s="150">
        <v>27.481000000000002</v>
      </c>
      <c r="J89" s="150">
        <v>27.481000000000002</v>
      </c>
      <c r="K89" s="214">
        <v>6209.42</v>
      </c>
      <c r="L89" s="217" t="s">
        <v>137</v>
      </c>
      <c r="M89" s="212" t="s">
        <v>6</v>
      </c>
      <c r="N89" s="212" t="s">
        <v>6</v>
      </c>
      <c r="O89" s="216" t="s">
        <v>379</v>
      </c>
      <c r="P89" s="216" t="s">
        <v>300</v>
      </c>
    </row>
    <row r="90" spans="1:16" x14ac:dyDescent="0.3">
      <c r="A90" s="146" t="s">
        <v>193</v>
      </c>
      <c r="B90" s="147">
        <v>2011</v>
      </c>
      <c r="C90" s="212" t="s">
        <v>19</v>
      </c>
      <c r="D90" s="147" t="s">
        <v>702</v>
      </c>
      <c r="E90" s="147" t="s">
        <v>319</v>
      </c>
      <c r="F90" s="146" t="s">
        <v>108</v>
      </c>
      <c r="G90" s="148">
        <v>141</v>
      </c>
      <c r="H90" s="149">
        <v>1</v>
      </c>
      <c r="I90" s="150">
        <v>37.738</v>
      </c>
      <c r="J90" s="150">
        <v>37.738</v>
      </c>
      <c r="K90" s="214">
        <v>9470.7100000000009</v>
      </c>
      <c r="L90" s="217" t="s">
        <v>137</v>
      </c>
      <c r="M90" s="212" t="s">
        <v>6</v>
      </c>
      <c r="N90" s="212" t="s">
        <v>6</v>
      </c>
      <c r="O90" s="216" t="s">
        <v>379</v>
      </c>
      <c r="P90" s="216" t="s">
        <v>300</v>
      </c>
    </row>
    <row r="91" spans="1:16" x14ac:dyDescent="0.3">
      <c r="A91" s="146" t="s">
        <v>192</v>
      </c>
      <c r="B91" s="147">
        <v>2011</v>
      </c>
      <c r="C91" s="212" t="s">
        <v>19</v>
      </c>
      <c r="D91" s="147" t="s">
        <v>703</v>
      </c>
      <c r="E91" s="147" t="s">
        <v>311</v>
      </c>
      <c r="F91" s="146" t="s">
        <v>135</v>
      </c>
      <c r="G91" s="148">
        <v>144</v>
      </c>
      <c r="H91" s="149">
        <v>1</v>
      </c>
      <c r="I91" s="150">
        <v>46.512999999999998</v>
      </c>
      <c r="J91" s="150">
        <v>46.512999999999998</v>
      </c>
      <c r="K91" s="214">
        <v>12232</v>
      </c>
      <c r="L91" s="217" t="s">
        <v>134</v>
      </c>
      <c r="M91" s="212" t="s">
        <v>5</v>
      </c>
      <c r="N91" s="212" t="s">
        <v>6</v>
      </c>
      <c r="O91" s="216" t="s">
        <v>379</v>
      </c>
      <c r="P91" s="216" t="s">
        <v>300</v>
      </c>
    </row>
    <row r="92" spans="1:16" x14ac:dyDescent="0.3">
      <c r="A92" s="146">
        <v>219</v>
      </c>
      <c r="B92" s="147">
        <v>2011</v>
      </c>
      <c r="C92" s="212" t="s">
        <v>19</v>
      </c>
      <c r="D92" s="147" t="s">
        <v>191</v>
      </c>
      <c r="E92" s="147" t="s">
        <v>303</v>
      </c>
      <c r="F92" s="146" t="s">
        <v>135</v>
      </c>
      <c r="G92" s="148">
        <v>44</v>
      </c>
      <c r="H92" s="149">
        <v>1</v>
      </c>
      <c r="I92" s="150">
        <v>96.891000000000005</v>
      </c>
      <c r="J92" s="150">
        <v>96.891000000000005</v>
      </c>
      <c r="K92" s="214">
        <v>9988.7200000000157</v>
      </c>
      <c r="L92" s="217" t="s">
        <v>134</v>
      </c>
      <c r="M92" s="212" t="s">
        <v>7</v>
      </c>
      <c r="N92" s="212" t="s">
        <v>8</v>
      </c>
      <c r="O92" s="216" t="s">
        <v>379</v>
      </c>
      <c r="P92" s="216" t="s">
        <v>300</v>
      </c>
    </row>
    <row r="93" spans="1:16" x14ac:dyDescent="0.3">
      <c r="A93" s="146" t="s">
        <v>190</v>
      </c>
      <c r="B93" s="147">
        <v>2011</v>
      </c>
      <c r="C93" s="212" t="s">
        <v>19</v>
      </c>
      <c r="D93" s="147" t="s">
        <v>704</v>
      </c>
      <c r="E93" s="147" t="s">
        <v>310</v>
      </c>
      <c r="F93" s="146" t="s">
        <v>135</v>
      </c>
      <c r="G93" s="148">
        <v>284</v>
      </c>
      <c r="H93" s="149">
        <v>0.25</v>
      </c>
      <c r="I93" s="150">
        <v>31.02</v>
      </c>
      <c r="J93" s="150">
        <v>7.7549999999999999</v>
      </c>
      <c r="K93" s="214">
        <v>13066.079999999998</v>
      </c>
      <c r="L93" s="217" t="s">
        <v>137</v>
      </c>
      <c r="M93" s="212" t="s">
        <v>7</v>
      </c>
      <c r="N93" s="212" t="s">
        <v>7</v>
      </c>
      <c r="O93" s="216" t="s">
        <v>379</v>
      </c>
      <c r="P93" s="216" t="s">
        <v>49</v>
      </c>
    </row>
    <row r="94" spans="1:16" x14ac:dyDescent="0.3">
      <c r="A94" s="146" t="s">
        <v>189</v>
      </c>
      <c r="B94" s="147">
        <v>2011</v>
      </c>
      <c r="C94" s="212" t="s">
        <v>19</v>
      </c>
      <c r="D94" s="147" t="s">
        <v>705</v>
      </c>
      <c r="E94" s="147" t="s">
        <v>311</v>
      </c>
      <c r="F94" s="146" t="s">
        <v>135</v>
      </c>
      <c r="G94" s="148">
        <v>144</v>
      </c>
      <c r="H94" s="149">
        <v>1</v>
      </c>
      <c r="I94" s="150">
        <v>46.512999999999998</v>
      </c>
      <c r="J94" s="150">
        <v>46.512999999999998</v>
      </c>
      <c r="K94" s="214">
        <v>12232</v>
      </c>
      <c r="L94" s="217" t="s">
        <v>134</v>
      </c>
      <c r="M94" s="212" t="s">
        <v>5</v>
      </c>
      <c r="N94" s="212" t="s">
        <v>6</v>
      </c>
      <c r="O94" s="216" t="s">
        <v>379</v>
      </c>
      <c r="P94" s="216" t="s">
        <v>300</v>
      </c>
    </row>
    <row r="95" spans="1:16" x14ac:dyDescent="0.3">
      <c r="A95" s="146" t="s">
        <v>188</v>
      </c>
      <c r="B95" s="147">
        <v>2011</v>
      </c>
      <c r="C95" s="212" t="s">
        <v>19</v>
      </c>
      <c r="D95" s="147" t="s">
        <v>706</v>
      </c>
      <c r="E95" s="147" t="s">
        <v>311</v>
      </c>
      <c r="F95" s="146" t="s">
        <v>135</v>
      </c>
      <c r="G95" s="148">
        <v>152</v>
      </c>
      <c r="H95" s="149">
        <v>1</v>
      </c>
      <c r="I95" s="150">
        <v>49.097000000000001</v>
      </c>
      <c r="J95" s="150">
        <v>49.097000000000001</v>
      </c>
      <c r="K95" s="214">
        <v>12232</v>
      </c>
      <c r="L95" s="217" t="s">
        <v>134</v>
      </c>
      <c r="M95" s="212" t="s">
        <v>5</v>
      </c>
      <c r="N95" s="212" t="s">
        <v>6</v>
      </c>
      <c r="O95" s="216" t="s">
        <v>379</v>
      </c>
      <c r="P95" s="216" t="s">
        <v>300</v>
      </c>
    </row>
    <row r="96" spans="1:16" x14ac:dyDescent="0.3">
      <c r="A96" s="146" t="s">
        <v>187</v>
      </c>
      <c r="B96" s="147">
        <v>2011</v>
      </c>
      <c r="C96" s="212" t="s">
        <v>19</v>
      </c>
      <c r="D96" s="147" t="s">
        <v>707</v>
      </c>
      <c r="E96" s="147" t="s">
        <v>319</v>
      </c>
      <c r="F96" s="146" t="s">
        <v>108</v>
      </c>
      <c r="G96" s="148">
        <v>72</v>
      </c>
      <c r="H96" s="149">
        <v>1</v>
      </c>
      <c r="I96" s="150">
        <v>20.004999999999999</v>
      </c>
      <c r="J96" s="150">
        <v>20.004999999999999</v>
      </c>
      <c r="K96" s="214">
        <v>5020.32</v>
      </c>
      <c r="L96" s="217" t="s">
        <v>137</v>
      </c>
      <c r="M96" s="212" t="s">
        <v>6</v>
      </c>
      <c r="N96" s="212" t="s">
        <v>6</v>
      </c>
      <c r="O96" s="216" t="s">
        <v>379</v>
      </c>
      <c r="P96" s="216" t="s">
        <v>300</v>
      </c>
    </row>
    <row r="97" spans="1:16" x14ac:dyDescent="0.3">
      <c r="A97" s="146" t="s">
        <v>186</v>
      </c>
      <c r="B97" s="147">
        <v>2011</v>
      </c>
      <c r="C97" s="212" t="s">
        <v>19</v>
      </c>
      <c r="D97" s="147" t="s">
        <v>708</v>
      </c>
      <c r="E97" s="147" t="s">
        <v>319</v>
      </c>
      <c r="F97" s="146" t="s">
        <v>108</v>
      </c>
      <c r="G97" s="148">
        <v>142</v>
      </c>
      <c r="H97" s="149">
        <v>1</v>
      </c>
      <c r="I97" s="150">
        <v>37.082999999999998</v>
      </c>
      <c r="J97" s="150">
        <v>37.082999999999998</v>
      </c>
      <c r="K97" s="214">
        <v>9306.24</v>
      </c>
      <c r="L97" s="217" t="s">
        <v>137</v>
      </c>
      <c r="M97" s="212" t="s">
        <v>6</v>
      </c>
      <c r="N97" s="212" t="s">
        <v>6</v>
      </c>
      <c r="O97" s="216" t="s">
        <v>379</v>
      </c>
      <c r="P97" s="216" t="s">
        <v>300</v>
      </c>
    </row>
    <row r="98" spans="1:16" x14ac:dyDescent="0.3">
      <c r="A98" s="146" t="s">
        <v>185</v>
      </c>
      <c r="B98" s="147">
        <v>2011</v>
      </c>
      <c r="C98" s="212" t="s">
        <v>19</v>
      </c>
      <c r="D98" s="147" t="s">
        <v>709</v>
      </c>
      <c r="E98" s="147" t="s">
        <v>324</v>
      </c>
      <c r="F98" s="146" t="s">
        <v>135</v>
      </c>
      <c r="G98" s="148">
        <v>154</v>
      </c>
      <c r="H98" s="149">
        <v>0.8</v>
      </c>
      <c r="I98" s="150">
        <v>38.890999999999998</v>
      </c>
      <c r="J98" s="150">
        <v>31.1128</v>
      </c>
      <c r="K98" s="214">
        <v>11785.039999999999</v>
      </c>
      <c r="L98" s="217" t="s">
        <v>137</v>
      </c>
      <c r="M98" s="212" t="s">
        <v>3</v>
      </c>
      <c r="N98" s="212" t="s">
        <v>4</v>
      </c>
      <c r="O98" s="216" t="s">
        <v>379</v>
      </c>
      <c r="P98" s="216" t="s">
        <v>300</v>
      </c>
    </row>
    <row r="99" spans="1:16" x14ac:dyDescent="0.3">
      <c r="A99" s="146" t="s">
        <v>184</v>
      </c>
      <c r="B99" s="147">
        <v>2011</v>
      </c>
      <c r="C99" s="212" t="s">
        <v>18</v>
      </c>
      <c r="D99" s="147" t="s">
        <v>710</v>
      </c>
      <c r="E99" s="147" t="s">
        <v>324</v>
      </c>
      <c r="F99" s="146" t="s">
        <v>135</v>
      </c>
      <c r="G99" s="148">
        <v>154</v>
      </c>
      <c r="H99" s="149">
        <v>0.8</v>
      </c>
      <c r="I99" s="150">
        <v>40.942</v>
      </c>
      <c r="J99" s="150">
        <v>32.753599999999999</v>
      </c>
      <c r="K99" s="214">
        <v>11785.039999999999</v>
      </c>
      <c r="L99" s="217" t="s">
        <v>137</v>
      </c>
      <c r="M99" s="212" t="s">
        <v>3</v>
      </c>
      <c r="N99" s="212" t="s">
        <v>4</v>
      </c>
      <c r="O99" s="216" t="s">
        <v>379</v>
      </c>
      <c r="P99" s="216" t="s">
        <v>300</v>
      </c>
    </row>
    <row r="100" spans="1:16" x14ac:dyDescent="0.3">
      <c r="A100" s="146" t="s">
        <v>183</v>
      </c>
      <c r="B100" s="147">
        <v>2011</v>
      </c>
      <c r="C100" s="212" t="s">
        <v>18</v>
      </c>
      <c r="D100" s="147" t="s">
        <v>711</v>
      </c>
      <c r="E100" s="147" t="s">
        <v>324</v>
      </c>
      <c r="F100" s="146" t="s">
        <v>135</v>
      </c>
      <c r="G100" s="148">
        <v>154</v>
      </c>
      <c r="H100" s="149">
        <v>0.8</v>
      </c>
      <c r="I100" s="150">
        <v>40.942</v>
      </c>
      <c r="J100" s="150">
        <v>32.753599999999999</v>
      </c>
      <c r="K100" s="214">
        <v>11785.039999999999</v>
      </c>
      <c r="L100" s="217" t="s">
        <v>137</v>
      </c>
      <c r="M100" s="212" t="s">
        <v>3</v>
      </c>
      <c r="N100" s="212" t="s">
        <v>4</v>
      </c>
      <c r="O100" s="216" t="s">
        <v>379</v>
      </c>
      <c r="P100" s="216" t="s">
        <v>300</v>
      </c>
    </row>
    <row r="101" spans="1:16" x14ac:dyDescent="0.3">
      <c r="A101" s="146" t="s">
        <v>182</v>
      </c>
      <c r="B101" s="147">
        <v>2011</v>
      </c>
      <c r="C101" s="212" t="s">
        <v>18</v>
      </c>
      <c r="D101" s="147" t="s">
        <v>712</v>
      </c>
      <c r="E101" s="147" t="s">
        <v>312</v>
      </c>
      <c r="F101" s="146" t="s">
        <v>135</v>
      </c>
      <c r="G101" s="148">
        <v>455</v>
      </c>
      <c r="H101" s="149">
        <v>1</v>
      </c>
      <c r="I101" s="150">
        <v>142</v>
      </c>
      <c r="J101" s="150">
        <v>142</v>
      </c>
      <c r="K101" s="214">
        <v>35948.305</v>
      </c>
      <c r="L101" s="217" t="s">
        <v>134</v>
      </c>
      <c r="M101" s="212" t="s">
        <v>4</v>
      </c>
      <c r="N101" s="212" t="s">
        <v>5</v>
      </c>
      <c r="O101" s="216" t="s">
        <v>379</v>
      </c>
      <c r="P101" s="216" t="s">
        <v>300</v>
      </c>
    </row>
    <row r="102" spans="1:16" x14ac:dyDescent="0.3">
      <c r="A102" s="146">
        <v>286</v>
      </c>
      <c r="B102" s="147">
        <v>2011</v>
      </c>
      <c r="C102" s="212" t="s">
        <v>18</v>
      </c>
      <c r="D102" s="147" t="s">
        <v>181</v>
      </c>
      <c r="E102" s="147" t="s">
        <v>255</v>
      </c>
      <c r="F102" s="146" t="s">
        <v>113</v>
      </c>
      <c r="G102" s="148">
        <v>248</v>
      </c>
      <c r="H102" s="149">
        <v>0.755</v>
      </c>
      <c r="I102" s="150">
        <v>68.947000000000003</v>
      </c>
      <c r="J102" s="150">
        <v>52.054985000000002</v>
      </c>
      <c r="K102" s="214">
        <v>20234</v>
      </c>
      <c r="L102" s="217" t="s">
        <v>137</v>
      </c>
      <c r="M102" s="212" t="s">
        <v>7</v>
      </c>
      <c r="N102" s="212" t="s">
        <v>8</v>
      </c>
      <c r="O102" s="216" t="s">
        <v>379</v>
      </c>
      <c r="P102" s="216" t="s">
        <v>300</v>
      </c>
    </row>
    <row r="103" spans="1:16" x14ac:dyDescent="0.3">
      <c r="A103" s="146">
        <v>272</v>
      </c>
      <c r="B103" s="147">
        <v>2011</v>
      </c>
      <c r="C103" s="212" t="s">
        <v>18</v>
      </c>
      <c r="D103" s="147" t="s">
        <v>180</v>
      </c>
      <c r="E103" s="147" t="s">
        <v>303</v>
      </c>
      <c r="F103" s="146" t="s">
        <v>135</v>
      </c>
      <c r="G103" s="148">
        <v>48</v>
      </c>
      <c r="H103" s="149">
        <v>0.5</v>
      </c>
      <c r="I103" s="150">
        <v>65.19</v>
      </c>
      <c r="J103" s="150">
        <v>32.594999999999999</v>
      </c>
      <c r="K103" s="214">
        <v>10606</v>
      </c>
      <c r="L103" s="217" t="s">
        <v>134</v>
      </c>
      <c r="M103" s="212" t="s">
        <v>5</v>
      </c>
      <c r="N103" s="212" t="s">
        <v>6</v>
      </c>
      <c r="O103" s="216" t="s">
        <v>379</v>
      </c>
      <c r="P103" s="216" t="s">
        <v>49</v>
      </c>
    </row>
    <row r="104" spans="1:16" x14ac:dyDescent="0.3">
      <c r="A104" s="146">
        <v>201</v>
      </c>
      <c r="B104" s="147">
        <v>2011</v>
      </c>
      <c r="C104" s="212" t="s">
        <v>18</v>
      </c>
      <c r="D104" s="147" t="s">
        <v>179</v>
      </c>
      <c r="E104" s="147" t="s">
        <v>303</v>
      </c>
      <c r="F104" s="146" t="s">
        <v>135</v>
      </c>
      <c r="G104" s="148">
        <v>100</v>
      </c>
      <c r="H104" s="149">
        <v>0.5</v>
      </c>
      <c r="I104" s="150">
        <v>48</v>
      </c>
      <c r="J104" s="150">
        <v>24</v>
      </c>
      <c r="K104" s="214">
        <v>7690</v>
      </c>
      <c r="L104" s="217" t="s">
        <v>134</v>
      </c>
      <c r="M104" s="212" t="s">
        <v>5</v>
      </c>
      <c r="N104" s="212" t="s">
        <v>6</v>
      </c>
      <c r="O104" s="216" t="s">
        <v>379</v>
      </c>
      <c r="P104" s="216" t="s">
        <v>49</v>
      </c>
    </row>
    <row r="105" spans="1:16" x14ac:dyDescent="0.3">
      <c r="A105" s="146" t="s">
        <v>178</v>
      </c>
      <c r="B105" s="147">
        <v>2011</v>
      </c>
      <c r="C105" s="212" t="s">
        <v>18</v>
      </c>
      <c r="D105" s="147" t="s">
        <v>713</v>
      </c>
      <c r="E105" s="147" t="s">
        <v>310</v>
      </c>
      <c r="F105" s="146" t="s">
        <v>135</v>
      </c>
      <c r="G105" s="148">
        <v>284</v>
      </c>
      <c r="H105" s="149">
        <v>0.25</v>
      </c>
      <c r="I105" s="150">
        <v>31.02</v>
      </c>
      <c r="J105" s="150">
        <v>7.7549999999999999</v>
      </c>
      <c r="K105" s="214">
        <v>13066.079999999998</v>
      </c>
      <c r="L105" s="217" t="s">
        <v>137</v>
      </c>
      <c r="M105" s="212" t="s">
        <v>7</v>
      </c>
      <c r="N105" s="212" t="s">
        <v>7</v>
      </c>
      <c r="O105" s="216" t="s">
        <v>379</v>
      </c>
      <c r="P105" s="216" t="s">
        <v>49</v>
      </c>
    </row>
    <row r="106" spans="1:16" x14ac:dyDescent="0.3">
      <c r="A106" s="146">
        <v>237</v>
      </c>
      <c r="B106" s="147">
        <v>2011</v>
      </c>
      <c r="C106" s="212" t="s">
        <v>18</v>
      </c>
      <c r="D106" s="147" t="s">
        <v>177</v>
      </c>
      <c r="E106" s="147" t="s">
        <v>303</v>
      </c>
      <c r="F106" s="146" t="s">
        <v>135</v>
      </c>
      <c r="G106" s="148">
        <v>46</v>
      </c>
      <c r="H106" s="149">
        <v>1</v>
      </c>
      <c r="I106" s="150">
        <v>64.070999999999998</v>
      </c>
      <c r="J106" s="150">
        <v>64.070999999999998</v>
      </c>
      <c r="K106" s="214">
        <v>8147.1099999999988</v>
      </c>
      <c r="L106" s="217" t="s">
        <v>134</v>
      </c>
      <c r="M106" s="212" t="s">
        <v>7</v>
      </c>
      <c r="N106" s="212" t="s">
        <v>7</v>
      </c>
      <c r="O106" s="216" t="s">
        <v>379</v>
      </c>
      <c r="P106" s="216" t="s">
        <v>300</v>
      </c>
    </row>
    <row r="107" spans="1:16" x14ac:dyDescent="0.3">
      <c r="A107" s="146">
        <v>246</v>
      </c>
      <c r="B107" s="147">
        <v>2011</v>
      </c>
      <c r="C107" s="212" t="s">
        <v>17</v>
      </c>
      <c r="D107" s="147" t="s">
        <v>176</v>
      </c>
      <c r="E107" s="147" t="s">
        <v>319</v>
      </c>
      <c r="F107" s="146" t="s">
        <v>108</v>
      </c>
      <c r="G107" s="148">
        <v>390</v>
      </c>
      <c r="H107" s="149">
        <v>0.35</v>
      </c>
      <c r="I107" s="150">
        <v>214</v>
      </c>
      <c r="J107" s="150">
        <v>74.899999999999991</v>
      </c>
      <c r="K107" s="214">
        <v>28835</v>
      </c>
      <c r="L107" s="217" t="s">
        <v>134</v>
      </c>
      <c r="M107" s="212" t="s">
        <v>356</v>
      </c>
      <c r="N107" s="212" t="s">
        <v>355</v>
      </c>
      <c r="O107" s="216" t="s">
        <v>379</v>
      </c>
      <c r="P107" s="216" t="s">
        <v>49</v>
      </c>
    </row>
    <row r="108" spans="1:16" x14ac:dyDescent="0.3">
      <c r="A108" s="146" t="s">
        <v>371</v>
      </c>
      <c r="B108" s="147">
        <v>2011</v>
      </c>
      <c r="C108" s="212" t="s">
        <v>17</v>
      </c>
      <c r="D108" s="147" t="s">
        <v>175</v>
      </c>
      <c r="E108" s="147" t="s">
        <v>255</v>
      </c>
      <c r="F108" s="146" t="s">
        <v>113</v>
      </c>
      <c r="G108" s="148">
        <v>0</v>
      </c>
      <c r="H108" s="149">
        <v>1</v>
      </c>
      <c r="I108" s="150">
        <v>16.218</v>
      </c>
      <c r="J108" s="150">
        <v>16.218</v>
      </c>
      <c r="K108" s="214">
        <v>0</v>
      </c>
      <c r="L108" s="217" t="s">
        <v>137</v>
      </c>
      <c r="M108" s="212" t="s">
        <v>1</v>
      </c>
      <c r="N108" s="212" t="s">
        <v>10</v>
      </c>
      <c r="O108" s="216" t="s">
        <v>379</v>
      </c>
      <c r="P108" s="216" t="s">
        <v>300</v>
      </c>
    </row>
    <row r="109" spans="1:16" x14ac:dyDescent="0.3">
      <c r="A109" s="146" t="s">
        <v>174</v>
      </c>
      <c r="B109" s="147">
        <v>2011</v>
      </c>
      <c r="C109" s="212" t="s">
        <v>17</v>
      </c>
      <c r="D109" s="147" t="s">
        <v>714</v>
      </c>
      <c r="E109" s="147" t="s">
        <v>325</v>
      </c>
      <c r="F109" s="146" t="s">
        <v>111</v>
      </c>
      <c r="G109" s="148">
        <v>384</v>
      </c>
      <c r="H109" s="149">
        <v>0.8</v>
      </c>
      <c r="I109" s="150">
        <v>112.202</v>
      </c>
      <c r="J109" s="150">
        <v>89.761600000000001</v>
      </c>
      <c r="K109" s="214">
        <v>24933.84</v>
      </c>
      <c r="L109" s="217" t="s">
        <v>137</v>
      </c>
      <c r="M109" s="212" t="s">
        <v>358</v>
      </c>
      <c r="N109" s="212" t="s">
        <v>358</v>
      </c>
      <c r="O109" s="216" t="s">
        <v>379</v>
      </c>
      <c r="P109" s="216" t="s">
        <v>300</v>
      </c>
    </row>
    <row r="110" spans="1:16" x14ac:dyDescent="0.3">
      <c r="A110" s="146" t="s">
        <v>173</v>
      </c>
      <c r="B110" s="147">
        <v>2011</v>
      </c>
      <c r="C110" s="212" t="s">
        <v>17</v>
      </c>
      <c r="D110" s="147" t="s">
        <v>715</v>
      </c>
      <c r="E110" s="147" t="s">
        <v>325</v>
      </c>
      <c r="F110" s="146" t="s">
        <v>111</v>
      </c>
      <c r="G110" s="148">
        <v>20</v>
      </c>
      <c r="H110" s="149">
        <v>0.8</v>
      </c>
      <c r="I110" s="150">
        <v>29.802</v>
      </c>
      <c r="J110" s="150">
        <v>23.8416</v>
      </c>
      <c r="K110" s="214">
        <v>3600.2899800000005</v>
      </c>
      <c r="L110" s="217" t="s">
        <v>137</v>
      </c>
      <c r="M110" s="212" t="s">
        <v>358</v>
      </c>
      <c r="N110" s="212" t="s">
        <v>3</v>
      </c>
      <c r="O110" s="216" t="s">
        <v>379</v>
      </c>
      <c r="P110" s="216" t="s">
        <v>300</v>
      </c>
    </row>
    <row r="111" spans="1:16" x14ac:dyDescent="0.3">
      <c r="A111" s="146">
        <v>289</v>
      </c>
      <c r="B111" s="147">
        <v>2011</v>
      </c>
      <c r="C111" s="212" t="s">
        <v>17</v>
      </c>
      <c r="D111" s="147" t="s">
        <v>172</v>
      </c>
      <c r="E111" s="147" t="s">
        <v>304</v>
      </c>
      <c r="F111" s="146" t="s">
        <v>135</v>
      </c>
      <c r="G111" s="148">
        <v>301</v>
      </c>
      <c r="H111" s="149">
        <v>1</v>
      </c>
      <c r="I111" s="150">
        <v>69.063999999999993</v>
      </c>
      <c r="J111" s="150">
        <v>69.063999999999993</v>
      </c>
      <c r="K111" s="214">
        <v>17579.175999999999</v>
      </c>
      <c r="L111" s="217" t="s">
        <v>137</v>
      </c>
      <c r="M111" s="212" t="s">
        <v>7</v>
      </c>
      <c r="N111" s="212" t="s">
        <v>7</v>
      </c>
      <c r="O111" s="216" t="s">
        <v>379</v>
      </c>
      <c r="P111" s="216" t="s">
        <v>300</v>
      </c>
    </row>
    <row r="112" spans="1:16" x14ac:dyDescent="0.3">
      <c r="A112" s="146">
        <v>284</v>
      </c>
      <c r="B112" s="147">
        <v>2011</v>
      </c>
      <c r="C112" s="212" t="s">
        <v>16</v>
      </c>
      <c r="D112" s="147" t="s">
        <v>171</v>
      </c>
      <c r="E112" s="147" t="s">
        <v>303</v>
      </c>
      <c r="F112" s="146" t="s">
        <v>135</v>
      </c>
      <c r="G112" s="148">
        <v>32</v>
      </c>
      <c r="H112" s="149">
        <v>1</v>
      </c>
      <c r="I112" s="150">
        <v>53.38</v>
      </c>
      <c r="J112" s="150">
        <v>53.38</v>
      </c>
      <c r="K112" s="214">
        <v>7196</v>
      </c>
      <c r="L112" s="217" t="s">
        <v>134</v>
      </c>
      <c r="M112" s="212" t="s">
        <v>7</v>
      </c>
      <c r="N112" s="212" t="s">
        <v>7</v>
      </c>
      <c r="O112" s="216" t="s">
        <v>379</v>
      </c>
      <c r="P112" s="216" t="s">
        <v>300</v>
      </c>
    </row>
    <row r="113" spans="1:16" x14ac:dyDescent="0.3">
      <c r="A113" s="146">
        <v>297</v>
      </c>
      <c r="B113" s="147">
        <v>2011</v>
      </c>
      <c r="C113" s="212" t="s">
        <v>16</v>
      </c>
      <c r="D113" s="147" t="s">
        <v>170</v>
      </c>
      <c r="E113" s="147" t="s">
        <v>319</v>
      </c>
      <c r="F113" s="146" t="s">
        <v>108</v>
      </c>
      <c r="G113" s="148">
        <v>616</v>
      </c>
      <c r="H113" s="149">
        <v>1</v>
      </c>
      <c r="I113" s="150">
        <v>217.85599999999999</v>
      </c>
      <c r="J113" s="150">
        <v>217.85599999999999</v>
      </c>
      <c r="K113" s="214">
        <v>32833.980000000003</v>
      </c>
      <c r="L113" s="217" t="s">
        <v>134</v>
      </c>
      <c r="M113" s="212" t="s">
        <v>0</v>
      </c>
      <c r="N113" s="212" t="s">
        <v>0</v>
      </c>
      <c r="O113" s="216" t="s">
        <v>379</v>
      </c>
      <c r="P113" s="216" t="s">
        <v>300</v>
      </c>
    </row>
    <row r="114" spans="1:16" x14ac:dyDescent="0.3">
      <c r="A114" s="146" t="s">
        <v>169</v>
      </c>
      <c r="B114" s="147">
        <v>2011</v>
      </c>
      <c r="C114" s="212" t="s">
        <v>16</v>
      </c>
      <c r="D114" s="147" t="s">
        <v>716</v>
      </c>
      <c r="E114" s="147" t="s">
        <v>255</v>
      </c>
      <c r="F114" s="146" t="s">
        <v>113</v>
      </c>
      <c r="G114" s="148">
        <v>144</v>
      </c>
      <c r="H114" s="149">
        <v>0.5</v>
      </c>
      <c r="I114" s="150">
        <v>72.739000000000004</v>
      </c>
      <c r="J114" s="150">
        <v>36.369500000000002</v>
      </c>
      <c r="K114" s="214">
        <v>14905.464000000002</v>
      </c>
      <c r="L114" s="217" t="s">
        <v>134</v>
      </c>
      <c r="M114" s="212" t="s">
        <v>0</v>
      </c>
      <c r="N114" s="212" t="s">
        <v>2</v>
      </c>
      <c r="O114" s="216" t="s">
        <v>379</v>
      </c>
      <c r="P114" s="216" t="s">
        <v>49</v>
      </c>
    </row>
    <row r="115" spans="1:16" x14ac:dyDescent="0.3">
      <c r="A115" s="146" t="s">
        <v>136</v>
      </c>
      <c r="B115" s="147">
        <v>2011</v>
      </c>
      <c r="C115" s="212" t="s">
        <v>16</v>
      </c>
      <c r="D115" s="147" t="s">
        <v>717</v>
      </c>
      <c r="E115" s="147" t="s">
        <v>255</v>
      </c>
      <c r="F115" s="146" t="s">
        <v>113</v>
      </c>
      <c r="G115" s="148">
        <v>216</v>
      </c>
      <c r="H115" s="149">
        <v>0.5</v>
      </c>
      <c r="I115" s="150">
        <v>109.108</v>
      </c>
      <c r="J115" s="150">
        <v>54.554000000000002</v>
      </c>
      <c r="K115" s="214">
        <v>22358.196000000004</v>
      </c>
      <c r="L115" s="217" t="s">
        <v>134</v>
      </c>
      <c r="M115" s="212" t="s">
        <v>356</v>
      </c>
      <c r="N115" s="212" t="s">
        <v>355</v>
      </c>
      <c r="O115" s="216" t="s">
        <v>379</v>
      </c>
      <c r="P115" s="216" t="s">
        <v>49</v>
      </c>
    </row>
    <row r="116" spans="1:16" x14ac:dyDescent="0.3">
      <c r="A116" s="146" t="s">
        <v>168</v>
      </c>
      <c r="B116" s="147">
        <v>2011</v>
      </c>
      <c r="C116" s="212" t="s">
        <v>16</v>
      </c>
      <c r="D116" s="147" t="s">
        <v>718</v>
      </c>
      <c r="E116" s="147" t="s">
        <v>310</v>
      </c>
      <c r="F116" s="146" t="s">
        <v>135</v>
      </c>
      <c r="G116" s="148">
        <v>200</v>
      </c>
      <c r="H116" s="149">
        <v>0.25</v>
      </c>
      <c r="I116" s="150">
        <v>48.156999999999996</v>
      </c>
      <c r="J116" s="150">
        <v>12.039249999999999</v>
      </c>
      <c r="K116" s="214">
        <v>13872.62</v>
      </c>
      <c r="L116" s="217" t="s">
        <v>137</v>
      </c>
      <c r="M116" s="212" t="s">
        <v>3</v>
      </c>
      <c r="N116" s="212" t="s">
        <v>5</v>
      </c>
      <c r="O116" s="216" t="s">
        <v>379</v>
      </c>
      <c r="P116" s="216" t="s">
        <v>49</v>
      </c>
    </row>
    <row r="117" spans="1:16" x14ac:dyDescent="0.3">
      <c r="A117" s="146" t="s">
        <v>167</v>
      </c>
      <c r="B117" s="147">
        <v>2011</v>
      </c>
      <c r="C117" s="212" t="s">
        <v>16</v>
      </c>
      <c r="D117" s="147" t="s">
        <v>719</v>
      </c>
      <c r="E117" s="147" t="s">
        <v>310</v>
      </c>
      <c r="F117" s="146" t="s">
        <v>135</v>
      </c>
      <c r="G117" s="148">
        <v>200</v>
      </c>
      <c r="H117" s="149">
        <v>0.25</v>
      </c>
      <c r="I117" s="150">
        <v>48.156999999999996</v>
      </c>
      <c r="J117" s="150">
        <v>12.039249999999999</v>
      </c>
      <c r="K117" s="214">
        <v>13872.62</v>
      </c>
      <c r="L117" s="217" t="s">
        <v>137</v>
      </c>
      <c r="M117" s="212" t="s">
        <v>3</v>
      </c>
      <c r="N117" s="212" t="s">
        <v>5</v>
      </c>
      <c r="O117" s="216" t="s">
        <v>379</v>
      </c>
      <c r="P117" s="216" t="s">
        <v>49</v>
      </c>
    </row>
    <row r="118" spans="1:16" x14ac:dyDescent="0.3">
      <c r="A118" s="146">
        <v>337</v>
      </c>
      <c r="B118" s="147">
        <v>2011</v>
      </c>
      <c r="C118" s="212" t="s">
        <v>16</v>
      </c>
      <c r="D118" s="147" t="s">
        <v>166</v>
      </c>
      <c r="E118" s="147" t="s">
        <v>323</v>
      </c>
      <c r="F118" s="146" t="s">
        <v>110</v>
      </c>
      <c r="G118" s="148">
        <v>235</v>
      </c>
      <c r="H118" s="149">
        <v>0.25</v>
      </c>
      <c r="I118" s="150">
        <v>175.75</v>
      </c>
      <c r="J118" s="150">
        <v>43.9375</v>
      </c>
      <c r="K118" s="214">
        <v>27702</v>
      </c>
      <c r="L118" s="217" t="s">
        <v>134</v>
      </c>
      <c r="M118" s="212" t="s">
        <v>355</v>
      </c>
      <c r="N118" s="212" t="s">
        <v>0</v>
      </c>
      <c r="O118" s="216" t="s">
        <v>379</v>
      </c>
      <c r="P118" s="216" t="s">
        <v>49</v>
      </c>
    </row>
    <row r="119" spans="1:16" x14ac:dyDescent="0.3">
      <c r="A119" s="146" t="s">
        <v>165</v>
      </c>
      <c r="B119" s="147">
        <v>2011</v>
      </c>
      <c r="C119" s="212" t="s">
        <v>16</v>
      </c>
      <c r="D119" s="147" t="s">
        <v>720</v>
      </c>
      <c r="E119" s="147" t="s">
        <v>325</v>
      </c>
      <c r="F119" s="146" t="s">
        <v>111</v>
      </c>
      <c r="G119" s="148">
        <v>384</v>
      </c>
      <c r="H119" s="149">
        <v>0.8</v>
      </c>
      <c r="I119" s="150">
        <v>107.658</v>
      </c>
      <c r="J119" s="150">
        <v>86.126400000000004</v>
      </c>
      <c r="K119" s="214">
        <v>24933.84</v>
      </c>
      <c r="L119" s="217" t="s">
        <v>137</v>
      </c>
      <c r="M119" s="212" t="s">
        <v>358</v>
      </c>
      <c r="N119" s="212" t="s">
        <v>358</v>
      </c>
      <c r="O119" s="216" t="s">
        <v>379</v>
      </c>
      <c r="P119" s="216" t="s">
        <v>300</v>
      </c>
    </row>
    <row r="120" spans="1:16" x14ac:dyDescent="0.3">
      <c r="A120" s="146">
        <v>293</v>
      </c>
      <c r="B120" s="147">
        <v>2011</v>
      </c>
      <c r="C120" s="212" t="s">
        <v>16</v>
      </c>
      <c r="D120" s="147" t="s">
        <v>164</v>
      </c>
      <c r="E120" s="147" t="s">
        <v>312</v>
      </c>
      <c r="F120" s="146" t="s">
        <v>135</v>
      </c>
      <c r="G120" s="148">
        <v>498</v>
      </c>
      <c r="H120" s="149">
        <v>1</v>
      </c>
      <c r="I120" s="150">
        <v>189.17</v>
      </c>
      <c r="J120" s="150">
        <v>189.17</v>
      </c>
      <c r="K120" s="214">
        <v>24034.55</v>
      </c>
      <c r="L120" s="217" t="s">
        <v>134</v>
      </c>
      <c r="M120" s="212" t="s">
        <v>356</v>
      </c>
      <c r="N120" s="212" t="s">
        <v>356</v>
      </c>
      <c r="O120" s="216" t="s">
        <v>379</v>
      </c>
      <c r="P120" s="216" t="s">
        <v>300</v>
      </c>
    </row>
    <row r="121" spans="1:16" x14ac:dyDescent="0.3">
      <c r="A121" s="146" t="s">
        <v>163</v>
      </c>
      <c r="B121" s="147">
        <v>2011</v>
      </c>
      <c r="C121" s="212" t="s">
        <v>16</v>
      </c>
      <c r="D121" s="147" t="s">
        <v>721</v>
      </c>
      <c r="E121" s="147" t="s">
        <v>255</v>
      </c>
      <c r="F121" s="146" t="s">
        <v>113</v>
      </c>
      <c r="G121" s="148">
        <v>188</v>
      </c>
      <c r="H121" s="149">
        <v>0.85</v>
      </c>
      <c r="I121" s="150">
        <v>55.091999999999999</v>
      </c>
      <c r="J121" s="150">
        <v>46.828199999999995</v>
      </c>
      <c r="K121" s="214">
        <v>14054.045</v>
      </c>
      <c r="L121" s="217" t="s">
        <v>137</v>
      </c>
      <c r="M121" s="212" t="s">
        <v>5</v>
      </c>
      <c r="N121" s="212" t="s">
        <v>6</v>
      </c>
      <c r="O121" s="216" t="s">
        <v>379</v>
      </c>
      <c r="P121" s="216" t="s">
        <v>300</v>
      </c>
    </row>
    <row r="122" spans="1:16" x14ac:dyDescent="0.3">
      <c r="A122" s="146" t="s">
        <v>162</v>
      </c>
      <c r="B122" s="147">
        <v>2011</v>
      </c>
      <c r="C122" s="212" t="s">
        <v>16</v>
      </c>
      <c r="D122" s="147" t="s">
        <v>722</v>
      </c>
      <c r="E122" s="147" t="s">
        <v>255</v>
      </c>
      <c r="F122" s="146" t="s">
        <v>113</v>
      </c>
      <c r="G122" s="148">
        <v>188</v>
      </c>
      <c r="H122" s="149">
        <v>0.85</v>
      </c>
      <c r="I122" s="150">
        <v>55.091999999999999</v>
      </c>
      <c r="J122" s="150">
        <v>46.828199999999995</v>
      </c>
      <c r="K122" s="214">
        <v>14054.045</v>
      </c>
      <c r="L122" s="217" t="s">
        <v>137</v>
      </c>
      <c r="M122" s="212" t="s">
        <v>5</v>
      </c>
      <c r="N122" s="212" t="s">
        <v>6</v>
      </c>
      <c r="O122" s="216" t="s">
        <v>379</v>
      </c>
      <c r="P122" s="216" t="s">
        <v>300</v>
      </c>
    </row>
    <row r="123" spans="1:16" x14ac:dyDescent="0.3">
      <c r="A123" s="146">
        <v>291</v>
      </c>
      <c r="B123" s="147">
        <v>2011</v>
      </c>
      <c r="C123" s="212" t="s">
        <v>16</v>
      </c>
      <c r="D123" s="147" t="s">
        <v>161</v>
      </c>
      <c r="E123" s="147" t="s">
        <v>314</v>
      </c>
      <c r="F123" s="146" t="s">
        <v>135</v>
      </c>
      <c r="G123" s="148">
        <v>243</v>
      </c>
      <c r="H123" s="149">
        <v>0.8</v>
      </c>
      <c r="I123" s="150">
        <v>67.099000000000004</v>
      </c>
      <c r="J123" s="150">
        <v>53.679200000000009</v>
      </c>
      <c r="K123" s="214">
        <v>16957.46</v>
      </c>
      <c r="L123" s="217" t="s">
        <v>137</v>
      </c>
      <c r="M123" s="212" t="s">
        <v>357</v>
      </c>
      <c r="N123" s="212" t="s">
        <v>357</v>
      </c>
      <c r="O123" s="216" t="s">
        <v>379</v>
      </c>
      <c r="P123" s="216" t="s">
        <v>300</v>
      </c>
    </row>
    <row r="124" spans="1:16" x14ac:dyDescent="0.3">
      <c r="A124" s="146">
        <v>329</v>
      </c>
      <c r="B124" s="147">
        <v>2012</v>
      </c>
      <c r="C124" s="212" t="s">
        <v>14</v>
      </c>
      <c r="D124" s="147" t="s">
        <v>160</v>
      </c>
      <c r="E124" s="147" t="s">
        <v>303</v>
      </c>
      <c r="F124" s="146" t="s">
        <v>135</v>
      </c>
      <c r="G124" s="148">
        <v>80</v>
      </c>
      <c r="H124" s="149">
        <v>0.5</v>
      </c>
      <c r="I124" s="150">
        <v>43.6</v>
      </c>
      <c r="J124" s="150">
        <v>21.8</v>
      </c>
      <c r="K124" s="214">
        <v>6794.1400000000012</v>
      </c>
      <c r="L124" s="217" t="s">
        <v>134</v>
      </c>
      <c r="M124" s="212" t="s">
        <v>2</v>
      </c>
      <c r="N124" s="212" t="s">
        <v>3</v>
      </c>
      <c r="O124" s="216" t="s">
        <v>379</v>
      </c>
      <c r="P124" s="216" t="s">
        <v>49</v>
      </c>
    </row>
    <row r="125" spans="1:16" x14ac:dyDescent="0.3">
      <c r="A125" s="146">
        <v>324</v>
      </c>
      <c r="B125" s="147">
        <v>2012</v>
      </c>
      <c r="C125" s="212" t="s">
        <v>14</v>
      </c>
      <c r="D125" s="147" t="s">
        <v>159</v>
      </c>
      <c r="E125" s="147" t="s">
        <v>319</v>
      </c>
      <c r="F125" s="146" t="s">
        <v>108</v>
      </c>
      <c r="G125" s="148">
        <v>104</v>
      </c>
      <c r="H125" s="149">
        <v>0.35</v>
      </c>
      <c r="I125" s="150">
        <v>53.524000000000001</v>
      </c>
      <c r="J125" s="150">
        <v>18.7334</v>
      </c>
      <c r="K125" s="214">
        <v>8505.9599999999973</v>
      </c>
      <c r="L125" s="217" t="s">
        <v>134</v>
      </c>
      <c r="M125" s="212" t="s">
        <v>0</v>
      </c>
      <c r="N125" s="212" t="s">
        <v>0</v>
      </c>
      <c r="O125" s="216" t="s">
        <v>379</v>
      </c>
      <c r="P125" s="216" t="s">
        <v>49</v>
      </c>
    </row>
    <row r="126" spans="1:16" x14ac:dyDescent="0.3">
      <c r="A126" s="146">
        <v>300</v>
      </c>
      <c r="B126" s="147">
        <v>2012</v>
      </c>
      <c r="C126" s="212" t="s">
        <v>14</v>
      </c>
      <c r="D126" s="147" t="s">
        <v>158</v>
      </c>
      <c r="E126" s="147" t="s">
        <v>314</v>
      </c>
      <c r="F126" s="146" t="s">
        <v>135</v>
      </c>
      <c r="G126" s="148">
        <v>243</v>
      </c>
      <c r="H126" s="149">
        <v>0.8</v>
      </c>
      <c r="I126" s="150">
        <v>80.143000000000001</v>
      </c>
      <c r="J126" s="150">
        <v>64.114400000000003</v>
      </c>
      <c r="K126" s="214">
        <v>16957.46</v>
      </c>
      <c r="L126" s="217" t="s">
        <v>137</v>
      </c>
      <c r="M126" s="212" t="s">
        <v>357</v>
      </c>
      <c r="N126" s="212" t="s">
        <v>357</v>
      </c>
      <c r="O126" s="216" t="s">
        <v>379</v>
      </c>
      <c r="P126" s="216" t="s">
        <v>300</v>
      </c>
    </row>
    <row r="127" spans="1:16" x14ac:dyDescent="0.3">
      <c r="A127" s="146">
        <v>311</v>
      </c>
      <c r="B127" s="147">
        <v>2012</v>
      </c>
      <c r="C127" s="212" t="s">
        <v>13</v>
      </c>
      <c r="D127" s="147" t="s">
        <v>157</v>
      </c>
      <c r="E127" s="147" t="s">
        <v>321</v>
      </c>
      <c r="F127" s="146" t="s">
        <v>135</v>
      </c>
      <c r="G127" s="148">
        <v>338</v>
      </c>
      <c r="H127" s="149">
        <v>1</v>
      </c>
      <c r="I127" s="150">
        <v>141.10400000000001</v>
      </c>
      <c r="J127" s="150">
        <v>141.10400000000001</v>
      </c>
      <c r="K127" s="214">
        <v>20677.349999999999</v>
      </c>
      <c r="L127" s="217" t="s">
        <v>134</v>
      </c>
      <c r="M127" s="212" t="s">
        <v>356</v>
      </c>
      <c r="N127" s="212" t="s">
        <v>355</v>
      </c>
      <c r="O127" s="216" t="s">
        <v>379</v>
      </c>
      <c r="P127" s="216" t="s">
        <v>300</v>
      </c>
    </row>
    <row r="128" spans="1:16" x14ac:dyDescent="0.3">
      <c r="A128" s="146" t="s">
        <v>156</v>
      </c>
      <c r="B128" s="147">
        <v>2012</v>
      </c>
      <c r="C128" s="212" t="s">
        <v>13</v>
      </c>
      <c r="D128" s="147" t="s">
        <v>723</v>
      </c>
      <c r="E128" s="147" t="s">
        <v>321</v>
      </c>
      <c r="F128" s="146" t="s">
        <v>135</v>
      </c>
      <c r="G128" s="148">
        <v>480</v>
      </c>
      <c r="H128" s="149">
        <v>1</v>
      </c>
      <c r="I128" s="150">
        <v>87.718999999999994</v>
      </c>
      <c r="J128" s="150">
        <v>87.718999999999994</v>
      </c>
      <c r="K128" s="214">
        <v>21137.040000000001</v>
      </c>
      <c r="L128" s="217" t="s">
        <v>137</v>
      </c>
      <c r="M128" s="212" t="s">
        <v>2</v>
      </c>
      <c r="N128" s="212" t="s">
        <v>4</v>
      </c>
      <c r="O128" s="216" t="s">
        <v>379</v>
      </c>
      <c r="P128" s="216" t="s">
        <v>300</v>
      </c>
    </row>
    <row r="129" spans="1:16" x14ac:dyDescent="0.3">
      <c r="A129" s="146" t="s">
        <v>155</v>
      </c>
      <c r="B129" s="147">
        <v>2012</v>
      </c>
      <c r="C129" s="212" t="s">
        <v>13</v>
      </c>
      <c r="D129" s="147" t="s">
        <v>724</v>
      </c>
      <c r="E129" s="147" t="s">
        <v>321</v>
      </c>
      <c r="F129" s="146" t="s">
        <v>135</v>
      </c>
      <c r="G129" s="148">
        <v>320</v>
      </c>
      <c r="H129" s="149">
        <v>1</v>
      </c>
      <c r="I129" s="150">
        <v>62.295999999999999</v>
      </c>
      <c r="J129" s="150">
        <v>62.295999999999999</v>
      </c>
      <c r="K129" s="214">
        <v>14853.959999999997</v>
      </c>
      <c r="L129" s="217" t="s">
        <v>137</v>
      </c>
      <c r="M129" s="212" t="s">
        <v>0</v>
      </c>
      <c r="N129" s="212" t="s">
        <v>2</v>
      </c>
      <c r="O129" s="216" t="s">
        <v>379</v>
      </c>
      <c r="P129" s="216" t="s">
        <v>300</v>
      </c>
    </row>
    <row r="130" spans="1:16" x14ac:dyDescent="0.3">
      <c r="A130" s="146">
        <v>323</v>
      </c>
      <c r="B130" s="147">
        <v>2012</v>
      </c>
      <c r="C130" s="212" t="s">
        <v>13</v>
      </c>
      <c r="D130" s="147" t="s">
        <v>154</v>
      </c>
      <c r="E130" s="147" t="s">
        <v>319</v>
      </c>
      <c r="F130" s="146" t="s">
        <v>108</v>
      </c>
      <c r="G130" s="148">
        <v>56</v>
      </c>
      <c r="H130" s="149">
        <v>0.35</v>
      </c>
      <c r="I130" s="150">
        <v>87.147000000000006</v>
      </c>
      <c r="J130" s="150">
        <v>30.501449999999998</v>
      </c>
      <c r="K130" s="214">
        <v>11177</v>
      </c>
      <c r="L130" s="217" t="s">
        <v>134</v>
      </c>
      <c r="M130" s="212" t="s">
        <v>355</v>
      </c>
      <c r="N130" s="212" t="s">
        <v>0</v>
      </c>
      <c r="O130" s="216" t="s">
        <v>379</v>
      </c>
      <c r="P130" s="216" t="s">
        <v>49</v>
      </c>
    </row>
    <row r="131" spans="1:16" x14ac:dyDescent="0.3">
      <c r="A131" s="146" t="s">
        <v>153</v>
      </c>
      <c r="B131" s="147">
        <v>2012</v>
      </c>
      <c r="C131" s="212" t="s">
        <v>12</v>
      </c>
      <c r="D131" s="147" t="s">
        <v>725</v>
      </c>
      <c r="E131" s="147" t="s">
        <v>310</v>
      </c>
      <c r="F131" s="146" t="s">
        <v>135</v>
      </c>
      <c r="G131" s="148">
        <v>284</v>
      </c>
      <c r="H131" s="149">
        <v>0.5</v>
      </c>
      <c r="I131" s="150">
        <v>44.036000000000001</v>
      </c>
      <c r="J131" s="150">
        <v>22.018000000000001</v>
      </c>
      <c r="K131" s="214">
        <v>13645.06</v>
      </c>
      <c r="L131" s="217" t="s">
        <v>137</v>
      </c>
      <c r="M131" s="212" t="s">
        <v>2</v>
      </c>
      <c r="N131" s="212" t="s">
        <v>2</v>
      </c>
      <c r="O131" s="216" t="s">
        <v>379</v>
      </c>
      <c r="P131" s="216" t="s">
        <v>49</v>
      </c>
    </row>
    <row r="132" spans="1:16" x14ac:dyDescent="0.3">
      <c r="A132" s="146" t="s">
        <v>152</v>
      </c>
      <c r="B132" s="147">
        <v>2012</v>
      </c>
      <c r="C132" s="212" t="s">
        <v>12</v>
      </c>
      <c r="D132" s="147" t="s">
        <v>726</v>
      </c>
      <c r="E132" s="147" t="s">
        <v>321</v>
      </c>
      <c r="F132" s="146" t="s">
        <v>135</v>
      </c>
      <c r="G132" s="148">
        <v>480</v>
      </c>
      <c r="H132" s="149">
        <v>1</v>
      </c>
      <c r="I132" s="150">
        <v>93.364999999999995</v>
      </c>
      <c r="J132" s="150">
        <v>93.364999999999995</v>
      </c>
      <c r="K132" s="214">
        <v>21899.64</v>
      </c>
      <c r="L132" s="217" t="s">
        <v>137</v>
      </c>
      <c r="M132" s="212" t="s">
        <v>355</v>
      </c>
      <c r="N132" s="212" t="s">
        <v>355</v>
      </c>
      <c r="O132" s="216" t="s">
        <v>379</v>
      </c>
      <c r="P132" s="216" t="s">
        <v>300</v>
      </c>
    </row>
    <row r="133" spans="1:16" x14ac:dyDescent="0.3">
      <c r="A133" s="146" t="s">
        <v>151</v>
      </c>
      <c r="B133" s="147">
        <v>2012</v>
      </c>
      <c r="C133" s="212" t="s">
        <v>12</v>
      </c>
      <c r="D133" s="147" t="s">
        <v>727</v>
      </c>
      <c r="E133" s="147" t="s">
        <v>324</v>
      </c>
      <c r="F133" s="146" t="s">
        <v>135</v>
      </c>
      <c r="G133" s="148">
        <v>268</v>
      </c>
      <c r="H133" s="149">
        <v>0.8</v>
      </c>
      <c r="I133" s="150">
        <v>67.340999999999994</v>
      </c>
      <c r="J133" s="150">
        <v>53.872799999999998</v>
      </c>
      <c r="K133" s="214">
        <v>14997.039999999999</v>
      </c>
      <c r="L133" s="217" t="s">
        <v>137</v>
      </c>
      <c r="M133" s="212" t="s">
        <v>357</v>
      </c>
      <c r="N133" s="212" t="s">
        <v>356</v>
      </c>
      <c r="O133" s="216" t="s">
        <v>379</v>
      </c>
      <c r="P133" s="216" t="s">
        <v>300</v>
      </c>
    </row>
    <row r="134" spans="1:16" x14ac:dyDescent="0.3">
      <c r="A134" s="146">
        <v>298</v>
      </c>
      <c r="B134" s="147">
        <v>2012</v>
      </c>
      <c r="C134" s="212" t="s">
        <v>12</v>
      </c>
      <c r="D134" s="147" t="s">
        <v>150</v>
      </c>
      <c r="E134" s="147" t="s">
        <v>303</v>
      </c>
      <c r="F134" s="146" t="s">
        <v>135</v>
      </c>
      <c r="G134" s="148">
        <v>120</v>
      </c>
      <c r="H134" s="149">
        <v>0.5</v>
      </c>
      <c r="I134" s="150">
        <v>45.579000000000001</v>
      </c>
      <c r="J134" s="150">
        <v>22.7895</v>
      </c>
      <c r="K134" s="214">
        <v>6787.2300000000005</v>
      </c>
      <c r="L134" s="217" t="s">
        <v>134</v>
      </c>
      <c r="M134" s="212" t="s">
        <v>355</v>
      </c>
      <c r="N134" s="212" t="s">
        <v>0</v>
      </c>
      <c r="O134" s="216" t="s">
        <v>379</v>
      </c>
      <c r="P134" s="216" t="s">
        <v>49</v>
      </c>
    </row>
    <row r="135" spans="1:16" s="151" customFormat="1" x14ac:dyDescent="0.3">
      <c r="A135" s="146">
        <v>327</v>
      </c>
      <c r="B135" s="147">
        <v>2012</v>
      </c>
      <c r="C135" s="212" t="s">
        <v>12</v>
      </c>
      <c r="D135" s="147" t="s">
        <v>149</v>
      </c>
      <c r="E135" s="147" t="s">
        <v>319</v>
      </c>
      <c r="F135" s="146" t="s">
        <v>108</v>
      </c>
      <c r="G135" s="148">
        <v>498</v>
      </c>
      <c r="H135" s="149">
        <v>1</v>
      </c>
      <c r="I135" s="150">
        <v>289.96800000000002</v>
      </c>
      <c r="J135" s="150">
        <v>289.96800000000002</v>
      </c>
      <c r="K135" s="214">
        <v>29466.97</v>
      </c>
      <c r="L135" s="217" t="s">
        <v>134</v>
      </c>
      <c r="M135" s="212" t="s">
        <v>368</v>
      </c>
      <c r="N135" s="212" t="s">
        <v>358</v>
      </c>
      <c r="O135" s="216" t="s">
        <v>379</v>
      </c>
      <c r="P135" s="216" t="s">
        <v>300</v>
      </c>
    </row>
    <row r="136" spans="1:16" s="151" customFormat="1" x14ac:dyDescent="0.3">
      <c r="A136" s="146" t="s">
        <v>148</v>
      </c>
      <c r="B136" s="147">
        <v>2012</v>
      </c>
      <c r="C136" s="212" t="s">
        <v>12</v>
      </c>
      <c r="D136" s="147" t="s">
        <v>728</v>
      </c>
      <c r="E136" s="147" t="s">
        <v>321</v>
      </c>
      <c r="F136" s="146" t="s">
        <v>135</v>
      </c>
      <c r="G136" s="148">
        <v>159</v>
      </c>
      <c r="H136" s="149">
        <v>1</v>
      </c>
      <c r="I136" s="150">
        <v>29.164000000000001</v>
      </c>
      <c r="J136" s="150">
        <v>29.164000000000001</v>
      </c>
      <c r="K136" s="214">
        <v>7009.46</v>
      </c>
      <c r="L136" s="217" t="s">
        <v>137</v>
      </c>
      <c r="M136" s="212" t="s">
        <v>358</v>
      </c>
      <c r="N136" s="212" t="s">
        <v>357</v>
      </c>
      <c r="O136" s="216" t="s">
        <v>379</v>
      </c>
      <c r="P136" s="216" t="s">
        <v>300</v>
      </c>
    </row>
    <row r="137" spans="1:16" s="151" customFormat="1" x14ac:dyDescent="0.3">
      <c r="A137" s="146" t="s">
        <v>147</v>
      </c>
      <c r="B137" s="147">
        <v>2013</v>
      </c>
      <c r="C137" s="212" t="s">
        <v>11</v>
      </c>
      <c r="D137" s="147" t="s">
        <v>729</v>
      </c>
      <c r="E137" s="147" t="s">
        <v>310</v>
      </c>
      <c r="F137" s="146" t="s">
        <v>135</v>
      </c>
      <c r="G137" s="148">
        <v>284</v>
      </c>
      <c r="H137" s="149">
        <v>0.5</v>
      </c>
      <c r="I137" s="150">
        <v>44.171999999999997</v>
      </c>
      <c r="J137" s="150">
        <v>22.085999999999999</v>
      </c>
      <c r="K137" s="214">
        <v>13645.06</v>
      </c>
      <c r="L137" s="217" t="s">
        <v>137</v>
      </c>
      <c r="M137" s="212" t="s">
        <v>2</v>
      </c>
      <c r="N137" s="212" t="s">
        <v>2</v>
      </c>
      <c r="O137" s="216" t="s">
        <v>379</v>
      </c>
      <c r="P137" s="216" t="s">
        <v>49</v>
      </c>
    </row>
    <row r="138" spans="1:16" s="151" customFormat="1" x14ac:dyDescent="0.3">
      <c r="A138" s="146" t="s">
        <v>294</v>
      </c>
      <c r="B138" s="147">
        <v>2013</v>
      </c>
      <c r="C138" s="212" t="s">
        <v>11</v>
      </c>
      <c r="D138" s="147" t="s">
        <v>730</v>
      </c>
      <c r="E138" s="147" t="s">
        <v>303</v>
      </c>
      <c r="F138" s="146" t="s">
        <v>135</v>
      </c>
      <c r="G138" s="148">
        <v>142</v>
      </c>
      <c r="H138" s="149">
        <v>1</v>
      </c>
      <c r="I138" s="150">
        <v>24.16</v>
      </c>
      <c r="J138" s="150">
        <v>24.16</v>
      </c>
      <c r="K138" s="214">
        <v>6374.44</v>
      </c>
      <c r="L138" s="217" t="s">
        <v>137</v>
      </c>
      <c r="M138" s="212" t="s">
        <v>0</v>
      </c>
      <c r="N138" s="212" t="s">
        <v>2</v>
      </c>
      <c r="O138" s="216" t="s">
        <v>379</v>
      </c>
      <c r="P138" s="216" t="s">
        <v>300</v>
      </c>
    </row>
    <row r="139" spans="1:16" s="151" customFormat="1" x14ac:dyDescent="0.3">
      <c r="A139" s="146" t="s">
        <v>295</v>
      </c>
      <c r="B139" s="147">
        <v>2013</v>
      </c>
      <c r="C139" s="212" t="s">
        <v>11</v>
      </c>
      <c r="D139" s="147" t="s">
        <v>731</v>
      </c>
      <c r="E139" s="147" t="s">
        <v>303</v>
      </c>
      <c r="F139" s="146" t="s">
        <v>135</v>
      </c>
      <c r="G139" s="148">
        <v>158</v>
      </c>
      <c r="H139" s="149">
        <v>1</v>
      </c>
      <c r="I139" s="150">
        <v>51.73</v>
      </c>
      <c r="J139" s="150">
        <v>51.73</v>
      </c>
      <c r="K139" s="214">
        <v>10755.06</v>
      </c>
      <c r="L139" s="217" t="s">
        <v>137</v>
      </c>
      <c r="M139" s="212" t="s">
        <v>0</v>
      </c>
      <c r="N139" s="212" t="s">
        <v>2</v>
      </c>
      <c r="O139" s="216" t="s">
        <v>379</v>
      </c>
      <c r="P139" s="216" t="s">
        <v>300</v>
      </c>
    </row>
    <row r="140" spans="1:16" s="151" customFormat="1" x14ac:dyDescent="0.3">
      <c r="A140" s="146" t="s">
        <v>146</v>
      </c>
      <c r="B140" s="147">
        <v>2013</v>
      </c>
      <c r="C140" s="212" t="s">
        <v>11</v>
      </c>
      <c r="D140" s="147" t="s">
        <v>732</v>
      </c>
      <c r="E140" s="147" t="s">
        <v>303</v>
      </c>
      <c r="F140" s="146" t="s">
        <v>135</v>
      </c>
      <c r="G140" s="148">
        <v>212</v>
      </c>
      <c r="H140" s="149">
        <v>0.71109999999999995</v>
      </c>
      <c r="I140" s="150">
        <v>464.995</v>
      </c>
      <c r="J140" s="150">
        <v>330.65794449999999</v>
      </c>
      <c r="K140" s="214">
        <v>57572.535517309574</v>
      </c>
      <c r="L140" s="217" t="s">
        <v>134</v>
      </c>
      <c r="M140" s="212" t="s">
        <v>355</v>
      </c>
      <c r="N140" s="212" t="s">
        <v>0</v>
      </c>
      <c r="O140" s="216" t="s">
        <v>379</v>
      </c>
      <c r="P140" s="216" t="s">
        <v>49</v>
      </c>
    </row>
    <row r="141" spans="1:16" s="151" customFormat="1" x14ac:dyDescent="0.3">
      <c r="A141" s="146" t="s">
        <v>145</v>
      </c>
      <c r="B141" s="147">
        <v>2013</v>
      </c>
      <c r="C141" s="212" t="s">
        <v>11</v>
      </c>
      <c r="D141" s="147" t="s">
        <v>733</v>
      </c>
      <c r="E141" s="147" t="s">
        <v>303</v>
      </c>
      <c r="F141" s="146" t="s">
        <v>135</v>
      </c>
      <c r="G141" s="148">
        <v>216</v>
      </c>
      <c r="H141" s="149">
        <v>0.71109999999999995</v>
      </c>
      <c r="I141" s="150">
        <v>339.00799999999998</v>
      </c>
      <c r="J141" s="150">
        <v>241.06858879999996</v>
      </c>
      <c r="K141" s="214">
        <v>39342.575552764072</v>
      </c>
      <c r="L141" s="217" t="s">
        <v>134</v>
      </c>
      <c r="M141" s="212" t="s">
        <v>355</v>
      </c>
      <c r="N141" s="212" t="s">
        <v>0</v>
      </c>
      <c r="O141" s="216" t="s">
        <v>379</v>
      </c>
      <c r="P141" s="216" t="s">
        <v>49</v>
      </c>
    </row>
    <row r="142" spans="1:16" s="151" customFormat="1" x14ac:dyDescent="0.3">
      <c r="A142" s="146">
        <v>331</v>
      </c>
      <c r="B142" s="147">
        <v>2013</v>
      </c>
      <c r="C142" s="212" t="s">
        <v>10</v>
      </c>
      <c r="D142" s="147" t="s">
        <v>144</v>
      </c>
      <c r="E142" s="147" t="s">
        <v>319</v>
      </c>
      <c r="F142" s="146" t="s">
        <v>108</v>
      </c>
      <c r="G142" s="148">
        <v>214</v>
      </c>
      <c r="H142" s="149">
        <v>0.35</v>
      </c>
      <c r="I142" s="150">
        <v>53.424999999999997</v>
      </c>
      <c r="J142" s="150">
        <v>18.698749999999997</v>
      </c>
      <c r="K142" s="214">
        <v>7090</v>
      </c>
      <c r="L142" s="217" t="s">
        <v>134</v>
      </c>
      <c r="M142" s="212" t="s">
        <v>357</v>
      </c>
      <c r="N142" s="212" t="s">
        <v>356</v>
      </c>
      <c r="O142" s="216" t="s">
        <v>379</v>
      </c>
      <c r="P142" s="216" t="s">
        <v>49</v>
      </c>
    </row>
    <row r="143" spans="1:16" x14ac:dyDescent="0.3">
      <c r="A143" s="146" t="s">
        <v>143</v>
      </c>
      <c r="B143" s="147">
        <v>2013</v>
      </c>
      <c r="C143" s="212" t="s">
        <v>10</v>
      </c>
      <c r="D143" s="147" t="s">
        <v>734</v>
      </c>
      <c r="E143" s="147" t="s">
        <v>324</v>
      </c>
      <c r="F143" s="146" t="s">
        <v>135</v>
      </c>
      <c r="G143" s="148">
        <v>252</v>
      </c>
      <c r="H143" s="149">
        <v>0.8</v>
      </c>
      <c r="I143" s="150">
        <v>58.761000000000003</v>
      </c>
      <c r="J143" s="150">
        <v>47.008800000000008</v>
      </c>
      <c r="K143" s="214">
        <v>13207.119999999999</v>
      </c>
      <c r="L143" s="217" t="s">
        <v>137</v>
      </c>
      <c r="M143" s="212" t="s">
        <v>357</v>
      </c>
      <c r="N143" s="212" t="s">
        <v>357</v>
      </c>
      <c r="O143" s="216" t="s">
        <v>379</v>
      </c>
      <c r="P143" s="216" t="s">
        <v>300</v>
      </c>
    </row>
    <row r="144" spans="1:16" x14ac:dyDescent="0.3">
      <c r="A144" s="146">
        <v>218</v>
      </c>
      <c r="B144" s="147">
        <v>2013</v>
      </c>
      <c r="C144" s="212" t="s">
        <v>10</v>
      </c>
      <c r="D144" s="147" t="s">
        <v>142</v>
      </c>
      <c r="E144" s="147" t="s">
        <v>303</v>
      </c>
      <c r="F144" s="146" t="s">
        <v>135</v>
      </c>
      <c r="G144" s="148">
        <v>396</v>
      </c>
      <c r="H144" s="149">
        <v>0.71109999999999995</v>
      </c>
      <c r="I144" s="150">
        <v>344.95600000000002</v>
      </c>
      <c r="J144" s="150">
        <v>245.2982116</v>
      </c>
      <c r="K144" s="214">
        <v>37711.440000000002</v>
      </c>
      <c r="L144" s="217" t="s">
        <v>134</v>
      </c>
      <c r="M144" s="212" t="s">
        <v>356</v>
      </c>
      <c r="N144" s="212" t="s">
        <v>355</v>
      </c>
      <c r="O144" s="216" t="s">
        <v>379</v>
      </c>
      <c r="P144" s="216" t="s">
        <v>49</v>
      </c>
    </row>
    <row r="145" spans="1:16" x14ac:dyDescent="0.3">
      <c r="A145" s="146" t="s">
        <v>141</v>
      </c>
      <c r="B145" s="147">
        <v>2013</v>
      </c>
      <c r="C145" s="212" t="s">
        <v>10</v>
      </c>
      <c r="D145" s="147" t="s">
        <v>735</v>
      </c>
      <c r="E145" s="147" t="s">
        <v>303</v>
      </c>
      <c r="F145" s="146" t="s">
        <v>135</v>
      </c>
      <c r="G145" s="148">
        <v>104</v>
      </c>
      <c r="H145" s="149">
        <v>0.71109999999999995</v>
      </c>
      <c r="I145" s="150">
        <v>187.809</v>
      </c>
      <c r="J145" s="150">
        <v>133.55097989999999</v>
      </c>
      <c r="K145" s="214">
        <v>22290.854447235932</v>
      </c>
      <c r="L145" s="217" t="s">
        <v>134</v>
      </c>
      <c r="M145" s="212" t="s">
        <v>355</v>
      </c>
      <c r="N145" s="212" t="s">
        <v>0</v>
      </c>
      <c r="O145" s="216" t="s">
        <v>379</v>
      </c>
      <c r="P145" s="216" t="s">
        <v>49</v>
      </c>
    </row>
    <row r="146" spans="1:16" x14ac:dyDescent="0.3">
      <c r="A146" s="146" t="s">
        <v>140</v>
      </c>
      <c r="B146" s="147">
        <v>2013</v>
      </c>
      <c r="C146" s="212" t="s">
        <v>10</v>
      </c>
      <c r="D146" s="147" t="s">
        <v>736</v>
      </c>
      <c r="E146" s="147" t="s">
        <v>303</v>
      </c>
      <c r="F146" s="146" t="s">
        <v>135</v>
      </c>
      <c r="G146" s="148">
        <v>108</v>
      </c>
      <c r="H146" s="149">
        <v>0.71109999999999995</v>
      </c>
      <c r="I146" s="150">
        <v>153.65799999999999</v>
      </c>
      <c r="J146" s="150">
        <v>109.26620379999999</v>
      </c>
      <c r="K146" s="214">
        <v>17080.566792452821</v>
      </c>
      <c r="L146" s="217" t="s">
        <v>134</v>
      </c>
      <c r="M146" s="212" t="s">
        <v>356</v>
      </c>
      <c r="N146" s="212" t="s">
        <v>355</v>
      </c>
      <c r="O146" s="216" t="s">
        <v>379</v>
      </c>
      <c r="P146" s="216" t="s">
        <v>49</v>
      </c>
    </row>
    <row r="147" spans="1:16" x14ac:dyDescent="0.3">
      <c r="A147" s="146" t="s">
        <v>298</v>
      </c>
      <c r="B147" s="147">
        <v>2013</v>
      </c>
      <c r="C147" s="212" t="s">
        <v>1</v>
      </c>
      <c r="D147" s="147" t="s">
        <v>737</v>
      </c>
      <c r="E147" s="147" t="s">
        <v>303</v>
      </c>
      <c r="F147" s="146" t="s">
        <v>135</v>
      </c>
      <c r="G147" s="148">
        <v>108</v>
      </c>
      <c r="H147" s="149">
        <v>0.71109999999999995</v>
      </c>
      <c r="I147" s="150">
        <v>228.88200000000001</v>
      </c>
      <c r="J147" s="150">
        <v>162.75799019999999</v>
      </c>
      <c r="K147" s="214">
        <v>27226.9444826904</v>
      </c>
      <c r="L147" s="217" t="s">
        <v>134</v>
      </c>
      <c r="M147" s="212" t="s">
        <v>355</v>
      </c>
      <c r="N147" s="212" t="s">
        <v>0</v>
      </c>
      <c r="O147" s="216" t="s">
        <v>379</v>
      </c>
      <c r="P147" s="216" t="s">
        <v>49</v>
      </c>
    </row>
    <row r="148" spans="1:16" x14ac:dyDescent="0.3">
      <c r="A148" s="146" t="s">
        <v>299</v>
      </c>
      <c r="B148" s="147">
        <v>2013</v>
      </c>
      <c r="C148" s="212" t="s">
        <v>1</v>
      </c>
      <c r="D148" s="147" t="s">
        <v>738</v>
      </c>
      <c r="E148" s="147" t="s">
        <v>303</v>
      </c>
      <c r="F148" s="146" t="s">
        <v>135</v>
      </c>
      <c r="G148" s="148">
        <v>104</v>
      </c>
      <c r="H148" s="149">
        <v>0.71109999999999995</v>
      </c>
      <c r="I148" s="150">
        <v>150.13800000000001</v>
      </c>
      <c r="J148" s="150">
        <v>106.7631318</v>
      </c>
      <c r="K148" s="214">
        <v>16447.953207547158</v>
      </c>
      <c r="L148" s="217" t="s">
        <v>134</v>
      </c>
      <c r="M148" s="212" t="s">
        <v>356</v>
      </c>
      <c r="N148" s="212" t="s">
        <v>355</v>
      </c>
      <c r="O148" s="216" t="s">
        <v>379</v>
      </c>
      <c r="P148" s="216" t="s">
        <v>49</v>
      </c>
    </row>
    <row r="149" spans="1:16" x14ac:dyDescent="0.3">
      <c r="A149" s="146">
        <v>230</v>
      </c>
      <c r="B149" s="147">
        <v>2013</v>
      </c>
      <c r="C149" s="212" t="s">
        <v>1</v>
      </c>
      <c r="D149" s="147" t="s">
        <v>139</v>
      </c>
      <c r="E149" s="147" t="s">
        <v>303</v>
      </c>
      <c r="F149" s="146" t="s">
        <v>135</v>
      </c>
      <c r="G149" s="148">
        <v>140</v>
      </c>
      <c r="H149" s="149">
        <v>1</v>
      </c>
      <c r="I149" s="150">
        <v>70.385000000000005</v>
      </c>
      <c r="J149" s="150">
        <v>70.385000000000005</v>
      </c>
      <c r="K149" s="214">
        <v>10928.429999999998</v>
      </c>
      <c r="L149" s="217" t="s">
        <v>134</v>
      </c>
      <c r="M149" s="212" t="s">
        <v>357</v>
      </c>
      <c r="N149" s="212" t="s">
        <v>356</v>
      </c>
      <c r="O149" s="216" t="s">
        <v>379</v>
      </c>
      <c r="P149" s="216" t="s">
        <v>300</v>
      </c>
    </row>
    <row r="150" spans="1:16" x14ac:dyDescent="0.3">
      <c r="A150" s="146">
        <v>294</v>
      </c>
      <c r="B150" s="147">
        <v>2013</v>
      </c>
      <c r="C150" s="212" t="s">
        <v>1</v>
      </c>
      <c r="D150" s="147" t="s">
        <v>138</v>
      </c>
      <c r="E150" s="147" t="s">
        <v>303</v>
      </c>
      <c r="F150" s="146" t="s">
        <v>135</v>
      </c>
      <c r="G150" s="148">
        <v>64</v>
      </c>
      <c r="H150" s="149">
        <v>1</v>
      </c>
      <c r="I150" s="150">
        <v>57.390999999999998</v>
      </c>
      <c r="J150" s="150">
        <v>57.390999999999998</v>
      </c>
      <c r="K150" s="214">
        <v>6990.08</v>
      </c>
      <c r="L150" s="217" t="s">
        <v>134</v>
      </c>
      <c r="M150" s="212" t="s">
        <v>356</v>
      </c>
      <c r="N150" s="212" t="s">
        <v>355</v>
      </c>
      <c r="O150" s="216" t="s">
        <v>379</v>
      </c>
      <c r="P150" s="216" t="s">
        <v>300</v>
      </c>
    </row>
    <row r="151" spans="1:16" x14ac:dyDescent="0.3">
      <c r="A151" s="146">
        <v>322</v>
      </c>
      <c r="B151" s="147">
        <v>2013</v>
      </c>
      <c r="C151" s="212" t="s">
        <v>9</v>
      </c>
      <c r="D151" s="147" t="s">
        <v>287</v>
      </c>
      <c r="E151" s="147" t="s">
        <v>319</v>
      </c>
      <c r="F151" s="146" t="s">
        <v>108</v>
      </c>
      <c r="G151" s="148">
        <v>379</v>
      </c>
      <c r="H151" s="149">
        <v>1</v>
      </c>
      <c r="I151" s="150">
        <v>118.208</v>
      </c>
      <c r="J151" s="150">
        <v>118.208</v>
      </c>
      <c r="K151" s="214">
        <v>15405.189999999997</v>
      </c>
      <c r="L151" s="217" t="s">
        <v>134</v>
      </c>
      <c r="M151" s="212" t="s">
        <v>369</v>
      </c>
      <c r="N151" s="212" t="s">
        <v>368</v>
      </c>
      <c r="O151" s="216" t="s">
        <v>379</v>
      </c>
      <c r="P151" s="216" t="s">
        <v>300</v>
      </c>
    </row>
    <row r="152" spans="1:16" x14ac:dyDescent="0.3">
      <c r="A152" s="146" t="s">
        <v>296</v>
      </c>
      <c r="B152" s="147">
        <v>2013</v>
      </c>
      <c r="C152" s="212" t="s">
        <v>9</v>
      </c>
      <c r="D152" s="147" t="s">
        <v>739</v>
      </c>
      <c r="E152" s="147" t="s">
        <v>303</v>
      </c>
      <c r="F152" s="146" t="s">
        <v>135</v>
      </c>
      <c r="G152" s="148">
        <v>128</v>
      </c>
      <c r="H152" s="149">
        <v>1</v>
      </c>
      <c r="I152" s="150">
        <v>70.256</v>
      </c>
      <c r="J152" s="150">
        <v>70.256</v>
      </c>
      <c r="K152" s="214">
        <v>9932.7999999999993</v>
      </c>
      <c r="L152" s="217" t="s">
        <v>134</v>
      </c>
      <c r="M152" s="212" t="s">
        <v>358</v>
      </c>
      <c r="N152" s="212" t="s">
        <v>357</v>
      </c>
      <c r="O152" s="216" t="s">
        <v>379</v>
      </c>
      <c r="P152" s="216" t="s">
        <v>300</v>
      </c>
    </row>
    <row r="153" spans="1:16" x14ac:dyDescent="0.3">
      <c r="A153" s="146">
        <v>348</v>
      </c>
      <c r="B153" s="147">
        <v>2013</v>
      </c>
      <c r="C153" s="212" t="s">
        <v>9</v>
      </c>
      <c r="D153" s="147" t="s">
        <v>286</v>
      </c>
      <c r="E153" s="147" t="s">
        <v>303</v>
      </c>
      <c r="F153" s="146" t="s">
        <v>135</v>
      </c>
      <c r="G153" s="148">
        <v>120</v>
      </c>
      <c r="H153" s="149">
        <v>0.5</v>
      </c>
      <c r="I153" s="150">
        <v>60.26</v>
      </c>
      <c r="J153" s="150">
        <v>30.13</v>
      </c>
      <c r="K153" s="214">
        <v>6739.94</v>
      </c>
      <c r="L153" s="217" t="s">
        <v>134</v>
      </c>
      <c r="M153" s="212" t="s">
        <v>357</v>
      </c>
      <c r="N153" s="212" t="s">
        <v>357</v>
      </c>
      <c r="O153" s="216" t="s">
        <v>379</v>
      </c>
      <c r="P153" s="216" t="s">
        <v>49</v>
      </c>
    </row>
    <row r="154" spans="1:16" x14ac:dyDescent="0.3">
      <c r="A154" s="146" t="s">
        <v>297</v>
      </c>
      <c r="B154" s="147">
        <v>2013</v>
      </c>
      <c r="C154" s="212" t="s">
        <v>9</v>
      </c>
      <c r="D154" s="147" t="s">
        <v>740</v>
      </c>
      <c r="E154" s="147" t="s">
        <v>303</v>
      </c>
      <c r="F154" s="146" t="s">
        <v>135</v>
      </c>
      <c r="G154" s="148">
        <v>144</v>
      </c>
      <c r="H154" s="149">
        <v>1</v>
      </c>
      <c r="I154" s="150">
        <v>43.323999999999998</v>
      </c>
      <c r="J154" s="150">
        <v>43.323999999999998</v>
      </c>
      <c r="K154" s="214">
        <v>8664.8000000000011</v>
      </c>
      <c r="L154" s="217" t="s">
        <v>137</v>
      </c>
      <c r="M154" s="212" t="s">
        <v>356</v>
      </c>
      <c r="N154" s="212" t="s">
        <v>355</v>
      </c>
      <c r="O154" s="216" t="s">
        <v>379</v>
      </c>
      <c r="P154" s="216" t="s">
        <v>300</v>
      </c>
    </row>
    <row r="155" spans="1:16" s="151" customFormat="1" x14ac:dyDescent="0.3">
      <c r="A155" s="146" t="s">
        <v>332</v>
      </c>
      <c r="B155" s="147">
        <v>2014</v>
      </c>
      <c r="C155" s="212" t="s">
        <v>8</v>
      </c>
      <c r="D155" s="147" t="s">
        <v>741</v>
      </c>
      <c r="E155" s="147" t="s">
        <v>321</v>
      </c>
      <c r="F155" s="146" t="s">
        <v>135</v>
      </c>
      <c r="G155" s="148">
        <v>160</v>
      </c>
      <c r="H155" s="149">
        <v>1</v>
      </c>
      <c r="I155" s="150">
        <v>32.973999999999997</v>
      </c>
      <c r="J155" s="150">
        <v>32.973999999999997</v>
      </c>
      <c r="K155" s="214">
        <v>7045.6799999999994</v>
      </c>
      <c r="L155" s="217" t="s">
        <v>137</v>
      </c>
      <c r="M155" s="212" t="s">
        <v>358</v>
      </c>
      <c r="N155" s="212" t="s">
        <v>357</v>
      </c>
      <c r="O155" s="216" t="s">
        <v>379</v>
      </c>
      <c r="P155" s="216" t="s">
        <v>300</v>
      </c>
    </row>
    <row r="156" spans="1:16" x14ac:dyDescent="0.3">
      <c r="A156" s="146" t="s">
        <v>333</v>
      </c>
      <c r="B156" s="147">
        <v>2014</v>
      </c>
      <c r="C156" s="212" t="s">
        <v>8</v>
      </c>
      <c r="D156" s="147" t="s">
        <v>742</v>
      </c>
      <c r="E156" s="147" t="s">
        <v>324</v>
      </c>
      <c r="F156" s="146" t="s">
        <v>135</v>
      </c>
      <c r="G156" s="148">
        <v>118</v>
      </c>
      <c r="H156" s="149">
        <v>0.8</v>
      </c>
      <c r="I156" s="150">
        <v>25.785</v>
      </c>
      <c r="J156" s="150">
        <v>20.628</v>
      </c>
      <c r="K156" s="214">
        <v>5708.6</v>
      </c>
      <c r="L156" s="217" t="s">
        <v>137</v>
      </c>
      <c r="M156" s="212" t="s">
        <v>368</v>
      </c>
      <c r="N156" s="212" t="s">
        <v>357</v>
      </c>
      <c r="O156" s="216" t="s">
        <v>379</v>
      </c>
      <c r="P156" s="216" t="s">
        <v>300</v>
      </c>
    </row>
    <row r="157" spans="1:16" x14ac:dyDescent="0.3">
      <c r="A157" s="146" t="s">
        <v>334</v>
      </c>
      <c r="B157" s="147">
        <v>2014</v>
      </c>
      <c r="C157" s="212" t="s">
        <v>7</v>
      </c>
      <c r="D157" s="147" t="s">
        <v>743</v>
      </c>
      <c r="E157" s="147" t="s">
        <v>324</v>
      </c>
      <c r="F157" s="146" t="s">
        <v>135</v>
      </c>
      <c r="G157" s="148">
        <v>118</v>
      </c>
      <c r="H157" s="149">
        <v>0.8</v>
      </c>
      <c r="I157" s="150">
        <v>25.785232426</v>
      </c>
      <c r="J157" s="150">
        <v>20.628185940800002</v>
      </c>
      <c r="K157" s="214">
        <v>5708.6</v>
      </c>
      <c r="L157" s="217" t="s">
        <v>137</v>
      </c>
      <c r="M157" s="212" t="s">
        <v>369</v>
      </c>
      <c r="N157" s="212" t="s">
        <v>368</v>
      </c>
      <c r="O157" s="216" t="s">
        <v>379</v>
      </c>
      <c r="P157" s="216" t="s">
        <v>300</v>
      </c>
    </row>
    <row r="158" spans="1:16" x14ac:dyDescent="0.3">
      <c r="A158" s="146" t="s">
        <v>337</v>
      </c>
      <c r="B158" s="147">
        <v>2014</v>
      </c>
      <c r="C158" s="212" t="s">
        <v>7</v>
      </c>
      <c r="D158" s="147" t="s">
        <v>744</v>
      </c>
      <c r="E158" s="147" t="s">
        <v>303</v>
      </c>
      <c r="F158" s="146" t="s">
        <v>135</v>
      </c>
      <c r="G158" s="148">
        <v>144</v>
      </c>
      <c r="H158" s="149">
        <v>1</v>
      </c>
      <c r="I158" s="150">
        <v>43.323999999999927</v>
      </c>
      <c r="J158" s="150">
        <v>43.323999999999927</v>
      </c>
      <c r="K158" s="214">
        <v>8664.8000000000011</v>
      </c>
      <c r="L158" s="217" t="s">
        <v>137</v>
      </c>
      <c r="M158" s="212" t="s">
        <v>356</v>
      </c>
      <c r="N158" s="212" t="s">
        <v>355</v>
      </c>
      <c r="O158" s="216" t="s">
        <v>379</v>
      </c>
      <c r="P158" s="216" t="s">
        <v>300</v>
      </c>
    </row>
    <row r="159" spans="1:16" x14ac:dyDescent="0.3">
      <c r="A159" s="146" t="s">
        <v>335</v>
      </c>
      <c r="B159" s="147">
        <v>2014</v>
      </c>
      <c r="C159" s="212" t="s">
        <v>7</v>
      </c>
      <c r="D159" s="147" t="s">
        <v>338</v>
      </c>
      <c r="E159" s="147" t="s">
        <v>303</v>
      </c>
      <c r="F159" s="146" t="s">
        <v>135</v>
      </c>
      <c r="G159" s="148">
        <v>276</v>
      </c>
      <c r="H159" s="149">
        <v>0.75</v>
      </c>
      <c r="I159" s="150">
        <v>192.94307499999999</v>
      </c>
      <c r="J159" s="150">
        <v>144.70730624999999</v>
      </c>
      <c r="K159" s="214">
        <v>18596.019999999997</v>
      </c>
      <c r="L159" s="217" t="s">
        <v>134</v>
      </c>
      <c r="M159" s="212" t="s">
        <v>373</v>
      </c>
      <c r="N159" s="212" t="s">
        <v>373</v>
      </c>
      <c r="O159" s="216" t="s">
        <v>379</v>
      </c>
      <c r="P159" s="216" t="s">
        <v>49</v>
      </c>
    </row>
    <row r="160" spans="1:16" x14ac:dyDescent="0.3">
      <c r="A160" s="146" t="s">
        <v>336</v>
      </c>
      <c r="B160" s="147">
        <v>2014</v>
      </c>
      <c r="C160" s="212" t="s">
        <v>7</v>
      </c>
      <c r="D160" s="147" t="s">
        <v>339</v>
      </c>
      <c r="E160" s="147" t="s">
        <v>303</v>
      </c>
      <c r="F160" s="146" t="s">
        <v>135</v>
      </c>
      <c r="G160" s="148">
        <v>317</v>
      </c>
      <c r="H160" s="149">
        <v>0.75</v>
      </c>
      <c r="I160" s="150">
        <v>192.05916500000001</v>
      </c>
      <c r="J160" s="150">
        <v>144.04437375000001</v>
      </c>
      <c r="K160" s="214">
        <v>16863.44999999999</v>
      </c>
      <c r="L160" s="217" t="s">
        <v>134</v>
      </c>
      <c r="M160" s="212" t="s">
        <v>373</v>
      </c>
      <c r="N160" s="212" t="s">
        <v>373</v>
      </c>
      <c r="O160" s="216" t="s">
        <v>379</v>
      </c>
      <c r="P160" s="216" t="s">
        <v>49</v>
      </c>
    </row>
    <row r="161" spans="1:16" x14ac:dyDescent="0.3">
      <c r="A161" s="146" t="s">
        <v>361</v>
      </c>
      <c r="B161" s="147">
        <v>2014</v>
      </c>
      <c r="C161" s="212" t="s">
        <v>5</v>
      </c>
      <c r="D161" s="147" t="s">
        <v>745</v>
      </c>
      <c r="E161" s="147" t="s">
        <v>303</v>
      </c>
      <c r="F161" s="146" t="s">
        <v>135</v>
      </c>
      <c r="G161" s="148">
        <v>128</v>
      </c>
      <c r="H161" s="149">
        <v>1</v>
      </c>
      <c r="I161" s="150">
        <v>70.232820000000004</v>
      </c>
      <c r="J161" s="150">
        <v>70.232820000000004</v>
      </c>
      <c r="K161" s="214">
        <v>9932.7999999999993</v>
      </c>
      <c r="L161" s="217" t="s">
        <v>134</v>
      </c>
      <c r="M161" s="212" t="s">
        <v>358</v>
      </c>
      <c r="N161" s="212" t="s">
        <v>357</v>
      </c>
      <c r="O161" s="216" t="s">
        <v>379</v>
      </c>
      <c r="P161" s="216" t="s">
        <v>300</v>
      </c>
    </row>
    <row r="162" spans="1:16" x14ac:dyDescent="0.3">
      <c r="A162" s="146" t="s">
        <v>346</v>
      </c>
      <c r="B162" s="147">
        <v>2014</v>
      </c>
      <c r="C162" s="212" t="s">
        <v>5</v>
      </c>
      <c r="D162" s="147" t="s">
        <v>746</v>
      </c>
      <c r="E162" s="147" t="s">
        <v>324</v>
      </c>
      <c r="F162" s="146" t="s">
        <v>135</v>
      </c>
      <c r="G162" s="148">
        <v>118</v>
      </c>
      <c r="H162" s="149">
        <v>0.8</v>
      </c>
      <c r="I162" s="150">
        <v>28.757529999999999</v>
      </c>
      <c r="J162" s="150">
        <v>23.006024</v>
      </c>
      <c r="K162" s="214">
        <v>5708.6</v>
      </c>
      <c r="L162" s="217" t="s">
        <v>137</v>
      </c>
      <c r="M162" s="212" t="s">
        <v>368</v>
      </c>
      <c r="N162" s="212" t="s">
        <v>357</v>
      </c>
      <c r="O162" s="216" t="s">
        <v>379</v>
      </c>
      <c r="P162" s="216" t="s">
        <v>300</v>
      </c>
    </row>
    <row r="163" spans="1:16" x14ac:dyDescent="0.3">
      <c r="A163" s="146">
        <v>349</v>
      </c>
      <c r="B163" s="147">
        <v>2014</v>
      </c>
      <c r="C163" s="212" t="s">
        <v>5</v>
      </c>
      <c r="D163" s="147" t="s">
        <v>345</v>
      </c>
      <c r="E163" s="147" t="s">
        <v>319</v>
      </c>
      <c r="F163" s="146" t="s">
        <v>108</v>
      </c>
      <c r="G163" s="148">
        <v>80</v>
      </c>
      <c r="H163" s="149">
        <v>0.35</v>
      </c>
      <c r="I163" s="150">
        <v>74.008470000000003</v>
      </c>
      <c r="J163" s="150">
        <v>25.9029645</v>
      </c>
      <c r="K163" s="214">
        <v>9259.1600000000017</v>
      </c>
      <c r="L163" s="217" t="s">
        <v>134</v>
      </c>
      <c r="M163" s="212" t="s">
        <v>530</v>
      </c>
      <c r="N163" s="212" t="s">
        <v>530</v>
      </c>
      <c r="O163" s="216" t="s">
        <v>379</v>
      </c>
      <c r="P163" s="216" t="s">
        <v>49</v>
      </c>
    </row>
    <row r="164" spans="1:16" x14ac:dyDescent="0.3">
      <c r="A164" s="146" t="s">
        <v>354</v>
      </c>
      <c r="B164" s="147">
        <v>2015</v>
      </c>
      <c r="C164" s="212" t="s">
        <v>2</v>
      </c>
      <c r="D164" s="147" t="s">
        <v>747</v>
      </c>
      <c r="E164" s="147" t="s">
        <v>324</v>
      </c>
      <c r="F164" s="146" t="s">
        <v>135</v>
      </c>
      <c r="G164" s="148">
        <v>118</v>
      </c>
      <c r="H164" s="149">
        <v>0.8</v>
      </c>
      <c r="I164" s="150">
        <v>27.342759999999998</v>
      </c>
      <c r="J164" s="150">
        <v>21.874207999999999</v>
      </c>
      <c r="K164" s="214">
        <v>5708.6</v>
      </c>
      <c r="L164" s="217" t="s">
        <v>137</v>
      </c>
      <c r="M164" s="212" t="s">
        <v>368</v>
      </c>
      <c r="N164" s="212" t="s">
        <v>357</v>
      </c>
      <c r="O164" s="216" t="s">
        <v>379</v>
      </c>
      <c r="P164" s="216" t="s">
        <v>300</v>
      </c>
    </row>
    <row r="165" spans="1:16" x14ac:dyDescent="0.3">
      <c r="A165" s="146">
        <v>356</v>
      </c>
      <c r="B165" s="147">
        <v>2016</v>
      </c>
      <c r="C165" s="212" t="s">
        <v>357</v>
      </c>
      <c r="D165" s="147" t="s">
        <v>360</v>
      </c>
      <c r="E165" s="147" t="s">
        <v>303</v>
      </c>
      <c r="F165" s="146" t="s">
        <v>135</v>
      </c>
      <c r="G165" s="148">
        <v>12</v>
      </c>
      <c r="H165" s="149">
        <v>1</v>
      </c>
      <c r="I165" s="150">
        <v>69.099999999999994</v>
      </c>
      <c r="J165" s="150">
        <v>69.099999999999994</v>
      </c>
      <c r="K165" s="214">
        <v>4507.3799999999992</v>
      </c>
      <c r="L165" s="217" t="s">
        <v>134</v>
      </c>
      <c r="M165" s="212" t="s">
        <v>378</v>
      </c>
      <c r="N165" s="212" t="s">
        <v>378</v>
      </c>
      <c r="O165" s="216" t="s">
        <v>379</v>
      </c>
      <c r="P165" s="216" t="s">
        <v>300</v>
      </c>
    </row>
    <row r="166" spans="1:16" x14ac:dyDescent="0.3">
      <c r="A166" s="146" t="s">
        <v>362</v>
      </c>
      <c r="B166" s="147">
        <v>2016</v>
      </c>
      <c r="C166" s="212" t="s">
        <v>357</v>
      </c>
      <c r="D166" s="147" t="s">
        <v>749</v>
      </c>
      <c r="E166" s="147" t="s">
        <v>303</v>
      </c>
      <c r="F166" s="146" t="s">
        <v>135</v>
      </c>
      <c r="G166" s="148">
        <v>22</v>
      </c>
      <c r="H166" s="149">
        <v>0.57499999999999996</v>
      </c>
      <c r="I166" s="150">
        <v>19.755487750000007</v>
      </c>
      <c r="J166" s="150">
        <v>11.359405456250004</v>
      </c>
      <c r="K166" s="214">
        <v>3185.9941666666668</v>
      </c>
      <c r="L166" s="217" t="s">
        <v>134</v>
      </c>
      <c r="M166" s="212" t="s">
        <v>373</v>
      </c>
      <c r="N166" s="212" t="s">
        <v>373</v>
      </c>
      <c r="O166" s="216" t="s">
        <v>379</v>
      </c>
      <c r="P166" s="216" t="s">
        <v>49</v>
      </c>
    </row>
    <row r="167" spans="1:16" x14ac:dyDescent="0.3">
      <c r="A167" s="146">
        <v>381</v>
      </c>
      <c r="B167" s="147">
        <v>2016</v>
      </c>
      <c r="C167" s="212" t="s">
        <v>358</v>
      </c>
      <c r="D167" s="147" t="s">
        <v>363</v>
      </c>
      <c r="E167" s="147" t="s">
        <v>303</v>
      </c>
      <c r="F167" s="146" t="s">
        <v>135</v>
      </c>
      <c r="G167" s="148">
        <v>257</v>
      </c>
      <c r="H167" s="149">
        <v>1</v>
      </c>
      <c r="I167" s="150">
        <v>79.644279999999995</v>
      </c>
      <c r="J167" s="150">
        <v>79.644279999999995</v>
      </c>
      <c r="K167" s="214">
        <v>6914.7420677746613</v>
      </c>
      <c r="L167" s="217" t="s">
        <v>137</v>
      </c>
      <c r="M167" s="212" t="s">
        <v>620</v>
      </c>
      <c r="N167" s="212" t="s">
        <v>620</v>
      </c>
      <c r="O167" s="216" t="s">
        <v>379</v>
      </c>
      <c r="P167" s="216" t="s">
        <v>300</v>
      </c>
    </row>
    <row r="168" spans="1:16" x14ac:dyDescent="0.3">
      <c r="A168" s="146" t="s">
        <v>370</v>
      </c>
      <c r="B168" s="147">
        <v>2016</v>
      </c>
      <c r="C168" s="212" t="s">
        <v>358</v>
      </c>
      <c r="D168" s="147" t="s">
        <v>748</v>
      </c>
      <c r="E168" s="147" t="s">
        <v>324</v>
      </c>
      <c r="F168" s="146" t="s">
        <v>135</v>
      </c>
      <c r="G168" s="148">
        <v>12</v>
      </c>
      <c r="H168" s="149">
        <v>0.8</v>
      </c>
      <c r="I168" s="150">
        <v>4</v>
      </c>
      <c r="J168" s="150">
        <v>3.2</v>
      </c>
      <c r="K168" s="214">
        <v>5708.6</v>
      </c>
      <c r="L168" s="217" t="s">
        <v>137</v>
      </c>
      <c r="M168" s="212" t="s">
        <v>369</v>
      </c>
      <c r="N168" s="212" t="s">
        <v>368</v>
      </c>
      <c r="O168" s="216" t="s">
        <v>379</v>
      </c>
      <c r="P168" s="216" t="s">
        <v>300</v>
      </c>
    </row>
    <row r="169" spans="1:16" x14ac:dyDescent="0.3">
      <c r="A169" s="146">
        <v>382</v>
      </c>
      <c r="B169" s="147">
        <v>2016</v>
      </c>
      <c r="C169" s="212" t="s">
        <v>358</v>
      </c>
      <c r="D169" s="147" t="s">
        <v>364</v>
      </c>
      <c r="E169" s="147" t="s">
        <v>365</v>
      </c>
      <c r="F169" s="146" t="s">
        <v>135</v>
      </c>
      <c r="G169" s="148">
        <v>159</v>
      </c>
      <c r="H169" s="149">
        <v>1</v>
      </c>
      <c r="I169" s="150">
        <v>20.735599665088198</v>
      </c>
      <c r="J169" s="150">
        <v>20.735599665088198</v>
      </c>
      <c r="K169" s="214">
        <v>105000</v>
      </c>
      <c r="L169" s="217" t="s">
        <v>347</v>
      </c>
      <c r="M169" s="212" t="s">
        <v>375</v>
      </c>
      <c r="N169" s="212" t="s">
        <v>373</v>
      </c>
      <c r="O169" s="216" t="s">
        <v>379</v>
      </c>
      <c r="P169" s="216" t="s">
        <v>300</v>
      </c>
    </row>
    <row r="170" spans="1:16" x14ac:dyDescent="0.3">
      <c r="A170" s="146">
        <v>379</v>
      </c>
      <c r="B170" s="147">
        <v>2016</v>
      </c>
      <c r="C170" s="212" t="s">
        <v>358</v>
      </c>
      <c r="D170" s="147" t="s">
        <v>366</v>
      </c>
      <c r="E170" s="147" t="s">
        <v>303</v>
      </c>
      <c r="F170" s="146" t="s">
        <v>135</v>
      </c>
      <c r="G170" s="148">
        <v>76</v>
      </c>
      <c r="H170" s="149">
        <v>1</v>
      </c>
      <c r="I170" s="150">
        <v>211</v>
      </c>
      <c r="J170" s="150">
        <v>211</v>
      </c>
      <c r="K170" s="214">
        <v>30330.799999999999</v>
      </c>
      <c r="L170" s="217" t="s">
        <v>134</v>
      </c>
      <c r="M170" s="212" t="s">
        <v>375</v>
      </c>
      <c r="N170" s="212" t="s">
        <v>375</v>
      </c>
      <c r="O170" s="216" t="s">
        <v>379</v>
      </c>
      <c r="P170" s="216" t="s">
        <v>300</v>
      </c>
    </row>
    <row r="171" spans="1:16" x14ac:dyDescent="0.3">
      <c r="A171" s="146">
        <v>200</v>
      </c>
      <c r="B171" s="147">
        <v>2019</v>
      </c>
      <c r="C171" s="212" t="s">
        <v>530</v>
      </c>
      <c r="D171" s="147" t="s">
        <v>556</v>
      </c>
      <c r="E171" s="147" t="s">
        <v>303</v>
      </c>
      <c r="F171" s="146" t="s">
        <v>135</v>
      </c>
      <c r="G171" s="148">
        <v>88</v>
      </c>
      <c r="H171" s="149">
        <v>1</v>
      </c>
      <c r="I171" s="152">
        <v>116.19870000000002</v>
      </c>
      <c r="J171" s="152">
        <v>116.19870000000002</v>
      </c>
      <c r="K171" s="214">
        <v>14689.28</v>
      </c>
      <c r="L171" s="217" t="s">
        <v>134</v>
      </c>
      <c r="M171" s="212" t="s">
        <v>654</v>
      </c>
      <c r="N171" s="212" t="s">
        <v>654</v>
      </c>
      <c r="O171" s="216" t="s">
        <v>379</v>
      </c>
      <c r="P171" s="216" t="s">
        <v>300</v>
      </c>
    </row>
    <row r="172" spans="1:16" x14ac:dyDescent="0.3">
      <c r="A172" s="146" t="s">
        <v>557</v>
      </c>
      <c r="B172" s="147">
        <v>2019</v>
      </c>
      <c r="C172" s="212" t="s">
        <v>530</v>
      </c>
      <c r="D172" s="147" t="s">
        <v>558</v>
      </c>
      <c r="E172" s="147" t="s">
        <v>303</v>
      </c>
      <c r="F172" s="146" t="s">
        <v>135</v>
      </c>
      <c r="G172" s="148">
        <v>306</v>
      </c>
      <c r="H172" s="149">
        <v>1</v>
      </c>
      <c r="I172" s="152">
        <v>111.4577</v>
      </c>
      <c r="J172" s="152">
        <v>111.4577</v>
      </c>
      <c r="K172" s="214">
        <v>19462</v>
      </c>
      <c r="L172" s="217" t="s">
        <v>137</v>
      </c>
      <c r="M172" s="212" t="s">
        <v>654</v>
      </c>
      <c r="N172" s="212" t="s">
        <v>654</v>
      </c>
      <c r="O172" s="216" t="s">
        <v>379</v>
      </c>
      <c r="P172" s="216" t="s">
        <v>300</v>
      </c>
    </row>
    <row r="173" spans="1:16" x14ac:dyDescent="0.3">
      <c r="A173" s="146" t="s">
        <v>559</v>
      </c>
      <c r="B173" s="147">
        <v>2019</v>
      </c>
      <c r="C173" s="212" t="s">
        <v>530</v>
      </c>
      <c r="D173" s="147" t="s">
        <v>750</v>
      </c>
      <c r="E173" s="147" t="s">
        <v>303</v>
      </c>
      <c r="F173" s="146" t="s">
        <v>135</v>
      </c>
      <c r="G173" s="148">
        <v>150</v>
      </c>
      <c r="H173" s="149">
        <v>1</v>
      </c>
      <c r="I173" s="152">
        <v>32.954340000000002</v>
      </c>
      <c r="J173" s="152">
        <v>32.954340000000002</v>
      </c>
      <c r="K173" s="214">
        <v>6638</v>
      </c>
      <c r="L173" s="217" t="s">
        <v>137</v>
      </c>
      <c r="M173" s="212" t="s">
        <v>654</v>
      </c>
      <c r="N173" s="212" t="s">
        <v>654</v>
      </c>
      <c r="O173" s="216" t="s">
        <v>379</v>
      </c>
      <c r="P173" s="216" t="s">
        <v>300</v>
      </c>
    </row>
    <row r="174" spans="1:16" x14ac:dyDescent="0.3">
      <c r="A174" s="146" t="s">
        <v>636</v>
      </c>
      <c r="B174" s="147">
        <v>2020</v>
      </c>
      <c r="C174" s="212" t="s">
        <v>635</v>
      </c>
      <c r="D174" s="147" t="s">
        <v>751</v>
      </c>
      <c r="E174" s="147" t="s">
        <v>303</v>
      </c>
      <c r="F174" s="146" t="s">
        <v>135</v>
      </c>
      <c r="G174" s="148">
        <v>149</v>
      </c>
      <c r="H174" s="149">
        <v>1</v>
      </c>
      <c r="I174" s="152">
        <v>33.93795999999999</v>
      </c>
      <c r="J174" s="152">
        <v>33.93795999999999</v>
      </c>
      <c r="K174" s="214">
        <v>6547.87</v>
      </c>
      <c r="L174" s="217" t="s">
        <v>137</v>
      </c>
      <c r="M174" s="212" t="s">
        <v>654</v>
      </c>
      <c r="N174" s="212" t="s">
        <v>654</v>
      </c>
      <c r="O174" s="216" t="s">
        <v>379</v>
      </c>
      <c r="P174" s="216" t="s">
        <v>300</v>
      </c>
    </row>
    <row r="175" spans="1:16" x14ac:dyDescent="0.3">
      <c r="A175" s="146">
        <v>370</v>
      </c>
      <c r="B175" s="147">
        <v>2019</v>
      </c>
      <c r="C175" s="212" t="s">
        <v>623</v>
      </c>
      <c r="D175" s="147" t="s">
        <v>634</v>
      </c>
      <c r="E175" s="147" t="s">
        <v>303</v>
      </c>
      <c r="F175" s="146" t="s">
        <v>135</v>
      </c>
      <c r="G175" s="148">
        <v>312</v>
      </c>
      <c r="H175" s="149">
        <v>1</v>
      </c>
      <c r="I175" s="152">
        <v>83.429719999999975</v>
      </c>
      <c r="J175" s="152">
        <v>83.429719999999975</v>
      </c>
      <c r="K175" s="214">
        <v>8726.9699999999993</v>
      </c>
      <c r="L175" s="217" t="s">
        <v>137</v>
      </c>
      <c r="M175" s="212" t="s">
        <v>659</v>
      </c>
      <c r="N175" s="212" t="s">
        <v>659</v>
      </c>
      <c r="O175" s="216" t="s">
        <v>379</v>
      </c>
      <c r="P175" s="216" t="s">
        <v>300</v>
      </c>
    </row>
    <row r="176" spans="1:16" x14ac:dyDescent="0.3">
      <c r="A176" s="146">
        <v>400</v>
      </c>
      <c r="B176" s="147">
        <v>2020</v>
      </c>
      <c r="C176" s="212" t="s">
        <v>641</v>
      </c>
      <c r="D176" s="147" t="s">
        <v>642</v>
      </c>
      <c r="E176" s="147" t="s">
        <v>303</v>
      </c>
      <c r="F176" s="146" t="s">
        <v>135</v>
      </c>
      <c r="G176" s="148">
        <v>68</v>
      </c>
      <c r="H176" s="149">
        <v>1</v>
      </c>
      <c r="I176" s="152">
        <v>125</v>
      </c>
      <c r="J176" s="152">
        <v>125</v>
      </c>
      <c r="K176" s="214">
        <v>12628.159999999998</v>
      </c>
      <c r="L176" s="217" t="s">
        <v>134</v>
      </c>
      <c r="M176" s="212" t="s">
        <v>770</v>
      </c>
      <c r="N176" s="212" t="s">
        <v>770</v>
      </c>
      <c r="O176" s="216" t="s">
        <v>379</v>
      </c>
      <c r="P176" s="216" t="s">
        <v>300</v>
      </c>
    </row>
    <row r="177" spans="1:16" x14ac:dyDescent="0.3">
      <c r="A177" s="146">
        <v>401</v>
      </c>
      <c r="B177" s="147">
        <v>2020</v>
      </c>
      <c r="C177" s="212" t="s">
        <v>641</v>
      </c>
      <c r="D177" s="147" t="s">
        <v>643</v>
      </c>
      <c r="E177" s="147" t="s">
        <v>303</v>
      </c>
      <c r="F177" s="146" t="s">
        <v>135</v>
      </c>
      <c r="G177" s="148">
        <v>140</v>
      </c>
      <c r="H177" s="149">
        <v>1</v>
      </c>
      <c r="I177" s="152">
        <v>139</v>
      </c>
      <c r="J177" s="152">
        <v>139</v>
      </c>
      <c r="K177" s="214">
        <v>13479.779999999999</v>
      </c>
      <c r="L177" s="217" t="s">
        <v>134</v>
      </c>
      <c r="M177" s="212" t="s">
        <v>776</v>
      </c>
      <c r="N177" s="212" t="s">
        <v>776</v>
      </c>
      <c r="O177" s="216" t="s">
        <v>379</v>
      </c>
      <c r="P177" s="216" t="s">
        <v>300</v>
      </c>
    </row>
    <row r="178" spans="1:16" x14ac:dyDescent="0.3">
      <c r="A178" s="146">
        <v>402</v>
      </c>
      <c r="B178" s="147">
        <v>2021</v>
      </c>
      <c r="C178" s="212" t="s">
        <v>647</v>
      </c>
      <c r="D178" s="147" t="s">
        <v>649</v>
      </c>
      <c r="E178" s="147" t="s">
        <v>303</v>
      </c>
      <c r="F178" s="146" t="s">
        <v>135</v>
      </c>
      <c r="G178" s="148">
        <v>231</v>
      </c>
      <c r="H178" s="149">
        <v>1</v>
      </c>
      <c r="I178" s="152">
        <v>164.77</v>
      </c>
      <c r="J178" s="152">
        <v>164.77</v>
      </c>
      <c r="K178" s="214">
        <v>13473.09</v>
      </c>
      <c r="L178" s="217" t="s">
        <v>134</v>
      </c>
      <c r="M178" s="212" t="s">
        <v>776</v>
      </c>
      <c r="N178" s="212" t="s">
        <v>776</v>
      </c>
      <c r="O178" s="216" t="s">
        <v>379</v>
      </c>
      <c r="P178" s="216" t="s">
        <v>300</v>
      </c>
    </row>
    <row r="179" spans="1:16" x14ac:dyDescent="0.3">
      <c r="A179" s="146">
        <v>408</v>
      </c>
      <c r="B179" s="147">
        <v>2021</v>
      </c>
      <c r="C179" s="212" t="s">
        <v>651</v>
      </c>
      <c r="D179" s="147" t="s">
        <v>652</v>
      </c>
      <c r="E179" s="147" t="s">
        <v>303</v>
      </c>
      <c r="F179" s="146" t="s">
        <v>135</v>
      </c>
      <c r="G179" s="148">
        <v>287</v>
      </c>
      <c r="H179" s="149">
        <v>1</v>
      </c>
      <c r="I179" s="152">
        <v>154.4</v>
      </c>
      <c r="J179" s="152">
        <v>154.4</v>
      </c>
      <c r="K179" s="214">
        <v>14181</v>
      </c>
      <c r="L179" s="217" t="s">
        <v>134</v>
      </c>
      <c r="M179" s="212" t="s">
        <v>792</v>
      </c>
      <c r="N179" s="212" t="s">
        <v>792</v>
      </c>
      <c r="O179" s="216" t="s">
        <v>379</v>
      </c>
      <c r="P179" s="216" t="s">
        <v>300</v>
      </c>
    </row>
    <row r="180" spans="1:16" x14ac:dyDescent="0.3">
      <c r="A180" s="146">
        <v>405</v>
      </c>
      <c r="B180" s="147">
        <v>2021</v>
      </c>
      <c r="C180" s="212" t="s">
        <v>651</v>
      </c>
      <c r="D180" s="147" t="s">
        <v>653</v>
      </c>
      <c r="E180" s="147" t="s">
        <v>303</v>
      </c>
      <c r="F180" s="146" t="s">
        <v>135</v>
      </c>
      <c r="G180" s="148">
        <v>207</v>
      </c>
      <c r="H180" s="149">
        <v>1</v>
      </c>
      <c r="I180" s="152">
        <v>133.5</v>
      </c>
      <c r="J180" s="152">
        <v>133.5</v>
      </c>
      <c r="K180" s="214">
        <v>10061</v>
      </c>
      <c r="L180" s="217" t="s">
        <v>134</v>
      </c>
      <c r="M180" s="212" t="s">
        <v>780</v>
      </c>
      <c r="N180" s="212" t="s">
        <v>780</v>
      </c>
      <c r="O180" s="216" t="s">
        <v>379</v>
      </c>
      <c r="P180" s="216" t="s">
        <v>300</v>
      </c>
    </row>
    <row r="181" spans="1:16" x14ac:dyDescent="0.3">
      <c r="A181" s="146">
        <v>406</v>
      </c>
      <c r="B181" s="147">
        <v>2021</v>
      </c>
      <c r="C181" s="212" t="s">
        <v>654</v>
      </c>
      <c r="D181" s="147" t="s">
        <v>656</v>
      </c>
      <c r="E181" s="146" t="s">
        <v>303</v>
      </c>
      <c r="F181" s="146" t="s">
        <v>135</v>
      </c>
      <c r="G181" s="148">
        <v>157</v>
      </c>
      <c r="H181" s="149">
        <v>1</v>
      </c>
      <c r="I181" s="152">
        <v>165.67709451181798</v>
      </c>
      <c r="J181" s="152">
        <v>165.67709451181798</v>
      </c>
      <c r="K181" s="214">
        <v>15530.897777360764</v>
      </c>
      <c r="L181" s="217" t="s">
        <v>134</v>
      </c>
      <c r="M181" s="212" t="s">
        <v>796</v>
      </c>
      <c r="N181" s="212" t="s">
        <v>795</v>
      </c>
      <c r="O181" s="216" t="s">
        <v>379</v>
      </c>
      <c r="P181" s="216" t="s">
        <v>300</v>
      </c>
    </row>
    <row r="182" spans="1:16" x14ac:dyDescent="0.3">
      <c r="A182" s="146">
        <v>411</v>
      </c>
      <c r="B182" s="147">
        <v>2021</v>
      </c>
      <c r="C182" s="212" t="s">
        <v>654</v>
      </c>
      <c r="D182" s="147" t="s">
        <v>657</v>
      </c>
      <c r="E182" s="146" t="s">
        <v>303</v>
      </c>
      <c r="F182" s="146" t="s">
        <v>135</v>
      </c>
      <c r="G182" s="148">
        <v>140</v>
      </c>
      <c r="H182" s="149">
        <v>0.7</v>
      </c>
      <c r="I182" s="152">
        <v>321.2552</v>
      </c>
      <c r="J182" s="152">
        <v>224.87863999999999</v>
      </c>
      <c r="K182" s="214">
        <v>11276.26669474719</v>
      </c>
      <c r="L182" s="217" t="s">
        <v>134</v>
      </c>
      <c r="M182" s="212" t="s">
        <v>797</v>
      </c>
      <c r="N182" s="212" t="s">
        <v>797</v>
      </c>
      <c r="O182" s="216" t="s">
        <v>379</v>
      </c>
      <c r="P182" s="216" t="s">
        <v>49</v>
      </c>
    </row>
    <row r="183" spans="1:16" x14ac:dyDescent="0.3">
      <c r="A183" s="146">
        <v>413</v>
      </c>
      <c r="B183" s="147">
        <v>2022</v>
      </c>
      <c r="C183" s="212" t="s">
        <v>752</v>
      </c>
      <c r="D183" s="147" t="s">
        <v>755</v>
      </c>
      <c r="E183" s="146" t="s">
        <v>303</v>
      </c>
      <c r="F183" s="146" t="s">
        <v>135</v>
      </c>
      <c r="G183" s="148">
        <v>131</v>
      </c>
      <c r="H183" s="149">
        <v>1</v>
      </c>
      <c r="I183" s="152">
        <v>107.4</v>
      </c>
      <c r="J183" s="152">
        <v>107.4</v>
      </c>
      <c r="K183" s="214">
        <v>9577.4699999999993</v>
      </c>
      <c r="L183" s="217" t="s">
        <v>134</v>
      </c>
      <c r="M183" s="212" t="s">
        <v>796</v>
      </c>
      <c r="N183" s="212" t="s">
        <v>796</v>
      </c>
      <c r="O183" s="216" t="s">
        <v>379</v>
      </c>
      <c r="P183" s="216" t="s">
        <v>300</v>
      </c>
    </row>
    <row r="184" spans="1:16" x14ac:dyDescent="0.3">
      <c r="A184" s="146">
        <v>338</v>
      </c>
      <c r="B184" s="147">
        <v>2022</v>
      </c>
      <c r="C184" s="212" t="s">
        <v>752</v>
      </c>
      <c r="D184" s="147" t="s">
        <v>756</v>
      </c>
      <c r="E184" s="146" t="s">
        <v>303</v>
      </c>
      <c r="F184" s="146" t="s">
        <v>135</v>
      </c>
      <c r="G184" s="148">
        <v>150</v>
      </c>
      <c r="H184" s="149">
        <v>0.57499999999999996</v>
      </c>
      <c r="I184" s="152">
        <v>218</v>
      </c>
      <c r="J184" s="152">
        <v>125.35</v>
      </c>
      <c r="K184" s="214">
        <v>15681</v>
      </c>
      <c r="L184" s="217" t="s">
        <v>134</v>
      </c>
      <c r="M184" s="212" t="s">
        <v>797</v>
      </c>
      <c r="N184" s="212" t="s">
        <v>797</v>
      </c>
      <c r="O184" s="216" t="s">
        <v>670</v>
      </c>
      <c r="P184" s="216" t="s">
        <v>49</v>
      </c>
    </row>
    <row r="185" spans="1:16" x14ac:dyDescent="0.3">
      <c r="A185" s="146">
        <v>339</v>
      </c>
      <c r="B185" s="147">
        <v>2022</v>
      </c>
      <c r="C185" s="212" t="s">
        <v>757</v>
      </c>
      <c r="D185" s="147" t="s">
        <v>758</v>
      </c>
      <c r="E185" s="146" t="s">
        <v>303</v>
      </c>
      <c r="F185" s="146" t="s">
        <v>135</v>
      </c>
      <c r="G185" s="148">
        <v>104</v>
      </c>
      <c r="H185" s="149">
        <v>0.57499999999999996</v>
      </c>
      <c r="I185" s="152">
        <v>288</v>
      </c>
      <c r="J185" s="152">
        <v>165.6</v>
      </c>
      <c r="K185" s="214">
        <v>18423.080000000002</v>
      </c>
      <c r="L185" s="217" t="s">
        <v>134</v>
      </c>
      <c r="M185" s="212"/>
      <c r="N185" s="212"/>
      <c r="O185" s="216" t="s">
        <v>670</v>
      </c>
      <c r="P185" s="216" t="s">
        <v>49</v>
      </c>
    </row>
    <row r="186" spans="1:16" x14ac:dyDescent="0.3">
      <c r="A186" s="146">
        <v>403</v>
      </c>
      <c r="B186" s="147">
        <v>2022</v>
      </c>
      <c r="C186" s="212" t="s">
        <v>757</v>
      </c>
      <c r="D186" s="147" t="s">
        <v>759</v>
      </c>
      <c r="E186" s="146" t="s">
        <v>303</v>
      </c>
      <c r="F186" s="146" t="s">
        <v>135</v>
      </c>
      <c r="G186" s="148">
        <v>27</v>
      </c>
      <c r="H186" s="149">
        <v>1</v>
      </c>
      <c r="I186" s="152">
        <v>380</v>
      </c>
      <c r="J186" s="152">
        <v>380</v>
      </c>
      <c r="K186" s="214">
        <v>11247.709999999997</v>
      </c>
      <c r="L186" s="217" t="s">
        <v>134</v>
      </c>
      <c r="M186" s="212" t="s">
        <v>809</v>
      </c>
      <c r="N186" s="212" t="s">
        <v>809</v>
      </c>
      <c r="O186" s="216" t="s">
        <v>670</v>
      </c>
      <c r="P186" s="216" t="s">
        <v>300</v>
      </c>
    </row>
    <row r="187" spans="1:16" x14ac:dyDescent="0.3">
      <c r="A187" s="146">
        <v>217</v>
      </c>
      <c r="B187" s="147">
        <v>2024</v>
      </c>
      <c r="C187" s="212" t="s">
        <v>771</v>
      </c>
      <c r="D187" s="147" t="s">
        <v>775</v>
      </c>
      <c r="E187" s="146" t="s">
        <v>303</v>
      </c>
      <c r="F187" s="146" t="s">
        <v>135</v>
      </c>
      <c r="G187" s="148">
        <v>424</v>
      </c>
      <c r="H187" s="149">
        <v>0.52500000000000002</v>
      </c>
      <c r="I187" s="152">
        <v>583</v>
      </c>
      <c r="J187" s="152">
        <v>306.07499999999999</v>
      </c>
      <c r="K187" s="214">
        <v>41352.299999999996</v>
      </c>
      <c r="L187" s="217" t="s">
        <v>134</v>
      </c>
      <c r="M187" s="212" t="s">
        <v>809</v>
      </c>
      <c r="N187" s="212" t="s">
        <v>809</v>
      </c>
      <c r="O187" s="216" t="s">
        <v>670</v>
      </c>
      <c r="P187" s="216" t="s">
        <v>49</v>
      </c>
    </row>
    <row r="188" spans="1:16" x14ac:dyDescent="0.3">
      <c r="A188" s="146">
        <v>378</v>
      </c>
      <c r="B188" s="147">
        <v>2024</v>
      </c>
      <c r="C188" s="212" t="s">
        <v>776</v>
      </c>
      <c r="D188" s="147" t="s">
        <v>777</v>
      </c>
      <c r="E188" s="146" t="s">
        <v>303</v>
      </c>
      <c r="F188" s="146" t="s">
        <v>135</v>
      </c>
      <c r="G188" s="148">
        <v>100</v>
      </c>
      <c r="H188" s="149">
        <v>0.52500000000000002</v>
      </c>
      <c r="I188" s="152">
        <v>445.39</v>
      </c>
      <c r="J188" s="152">
        <v>233.82974999999999</v>
      </c>
      <c r="K188" s="214">
        <v>26734</v>
      </c>
      <c r="L188" s="217" t="s">
        <v>134</v>
      </c>
      <c r="M188" s="212" t="s">
        <v>809</v>
      </c>
      <c r="N188" s="212" t="s">
        <v>809</v>
      </c>
      <c r="O188" s="216" t="s">
        <v>670</v>
      </c>
      <c r="P188" s="216" t="s">
        <v>49</v>
      </c>
    </row>
    <row r="189" spans="1:16" x14ac:dyDescent="0.3">
      <c r="A189" s="146">
        <v>194</v>
      </c>
      <c r="B189" s="147">
        <v>2024</v>
      </c>
      <c r="C189" s="212" t="s">
        <v>778</v>
      </c>
      <c r="D189" s="147" t="s">
        <v>779</v>
      </c>
      <c r="E189" s="146" t="s">
        <v>303</v>
      </c>
      <c r="F189" s="146" t="s">
        <v>135</v>
      </c>
      <c r="G189" s="148">
        <v>216</v>
      </c>
      <c r="H189" s="149">
        <v>0.52500000000000002</v>
      </c>
      <c r="I189" s="152">
        <v>592.5</v>
      </c>
      <c r="J189" s="152">
        <v>311.0625</v>
      </c>
      <c r="K189" s="214">
        <v>37571.379999999997</v>
      </c>
      <c r="L189" s="217" t="s">
        <v>134</v>
      </c>
      <c r="M189" s="212" t="s">
        <v>809</v>
      </c>
      <c r="N189" s="212" t="s">
        <v>809</v>
      </c>
      <c r="O189" s="216" t="s">
        <v>670</v>
      </c>
      <c r="P189" s="216" t="s">
        <v>49</v>
      </c>
    </row>
    <row r="190" spans="1:16" x14ac:dyDescent="0.3">
      <c r="A190" s="146" t="s">
        <v>800</v>
      </c>
      <c r="B190" s="147">
        <v>2024</v>
      </c>
      <c r="C190" s="212" t="s">
        <v>776</v>
      </c>
      <c r="D190" s="147" t="s">
        <v>801</v>
      </c>
      <c r="E190" s="146" t="s">
        <v>303</v>
      </c>
      <c r="F190" s="146" t="s">
        <v>135</v>
      </c>
      <c r="G190" s="148">
        <v>989</v>
      </c>
      <c r="H190" s="149">
        <v>0.1</v>
      </c>
      <c r="I190" s="152">
        <v>210.4</v>
      </c>
      <c r="J190" s="152">
        <v>21.040000000000003</v>
      </c>
      <c r="K190" s="214">
        <v>31648</v>
      </c>
      <c r="L190" s="217" t="s">
        <v>802</v>
      </c>
      <c r="M190" s="212" t="s">
        <v>809</v>
      </c>
      <c r="N190" s="212" t="s">
        <v>809</v>
      </c>
      <c r="O190" s="216" t="s">
        <v>670</v>
      </c>
      <c r="P190" s="216" t="s">
        <v>300</v>
      </c>
    </row>
    <row r="191" spans="1:16" x14ac:dyDescent="0.3">
      <c r="A191" s="146" t="s">
        <v>800</v>
      </c>
      <c r="B191" s="147">
        <v>2024</v>
      </c>
      <c r="C191" s="212" t="s">
        <v>778</v>
      </c>
      <c r="D191" s="147" t="s">
        <v>803</v>
      </c>
      <c r="E191" s="146" t="s">
        <v>303</v>
      </c>
      <c r="F191" s="146" t="s">
        <v>135</v>
      </c>
      <c r="G191" s="148">
        <v>965</v>
      </c>
      <c r="H191" s="149">
        <v>0.1</v>
      </c>
      <c r="I191" s="152">
        <v>197.79300000000001</v>
      </c>
      <c r="J191" s="152">
        <v>19.779300000000003</v>
      </c>
      <c r="K191" s="214">
        <v>37152.5</v>
      </c>
      <c r="L191" s="217" t="s">
        <v>802</v>
      </c>
      <c r="M191" s="212" t="s">
        <v>809</v>
      </c>
      <c r="N191" s="212" t="s">
        <v>809</v>
      </c>
      <c r="O191" s="216" t="s">
        <v>670</v>
      </c>
      <c r="P191" s="216" t="s">
        <v>300</v>
      </c>
    </row>
    <row r="192" spans="1:16" x14ac:dyDescent="0.3">
      <c r="A192" s="146" t="s">
        <v>800</v>
      </c>
      <c r="B192" s="147">
        <v>2025</v>
      </c>
      <c r="C192" s="212" t="s">
        <v>792</v>
      </c>
      <c r="D192" s="147" t="s">
        <v>804</v>
      </c>
      <c r="E192" s="146" t="s">
        <v>303</v>
      </c>
      <c r="F192" s="146" t="s">
        <v>135</v>
      </c>
      <c r="G192" s="148">
        <v>917</v>
      </c>
      <c r="H192" s="149">
        <v>0.1</v>
      </c>
      <c r="I192" s="152">
        <v>202.77600000000001</v>
      </c>
      <c r="J192" s="152">
        <v>20.277600000000003</v>
      </c>
      <c r="K192" s="214">
        <v>35304.5</v>
      </c>
      <c r="L192" s="217" t="s">
        <v>802</v>
      </c>
      <c r="M192" s="212" t="s">
        <v>809</v>
      </c>
      <c r="N192" s="212" t="s">
        <v>809</v>
      </c>
      <c r="O192" s="216" t="s">
        <v>670</v>
      </c>
      <c r="P192" s="216" t="s">
        <v>300</v>
      </c>
    </row>
    <row r="193" spans="1:16" x14ac:dyDescent="0.3">
      <c r="A193" s="146" t="s">
        <v>800</v>
      </c>
      <c r="B193" s="147">
        <v>2025</v>
      </c>
      <c r="C193" s="212" t="s">
        <v>796</v>
      </c>
      <c r="D193" s="147" t="s">
        <v>805</v>
      </c>
      <c r="E193" s="146" t="s">
        <v>303</v>
      </c>
      <c r="F193" s="146" t="s">
        <v>135</v>
      </c>
      <c r="G193" s="148">
        <v>315</v>
      </c>
      <c r="H193" s="149">
        <v>0.3</v>
      </c>
      <c r="I193" s="152">
        <v>90</v>
      </c>
      <c r="J193" s="152">
        <v>27</v>
      </c>
      <c r="K193" s="214">
        <v>10237.5</v>
      </c>
      <c r="L193" s="217" t="s">
        <v>802</v>
      </c>
      <c r="M193" s="212" t="s">
        <v>809</v>
      </c>
      <c r="N193" s="212" t="s">
        <v>809</v>
      </c>
      <c r="O193" s="216" t="s">
        <v>670</v>
      </c>
      <c r="P193" s="216" t="s">
        <v>300</v>
      </c>
    </row>
    <row r="194" spans="1:16" ht="13.2" customHeight="1" x14ac:dyDescent="0.3">
      <c r="A194" s="146" t="s">
        <v>806</v>
      </c>
      <c r="B194" s="147">
        <v>2025</v>
      </c>
      <c r="C194" s="212" t="s">
        <v>797</v>
      </c>
      <c r="D194" s="147" t="s">
        <v>807</v>
      </c>
      <c r="E194" s="146" t="s">
        <v>303</v>
      </c>
      <c r="F194" s="146" t="s">
        <v>135</v>
      </c>
      <c r="G194" s="148">
        <v>32</v>
      </c>
      <c r="H194" s="149">
        <v>0.1</v>
      </c>
      <c r="I194" s="152">
        <v>111</v>
      </c>
      <c r="J194" s="152">
        <v>11.100000000000001</v>
      </c>
      <c r="K194" s="214">
        <v>3129.9599999999996</v>
      </c>
      <c r="L194" s="217" t="s">
        <v>808</v>
      </c>
      <c r="M194" s="212" t="s">
        <v>809</v>
      </c>
      <c r="N194" s="212" t="s">
        <v>809</v>
      </c>
      <c r="O194" s="216" t="s">
        <v>670</v>
      </c>
      <c r="P194" s="216" t="s">
        <v>49</v>
      </c>
    </row>
    <row r="195" spans="1:16" x14ac:dyDescent="0.3">
      <c r="D195" s="153"/>
      <c r="E195" s="5"/>
    </row>
    <row r="196" spans="1:16" x14ac:dyDescent="0.3">
      <c r="D196" s="153"/>
      <c r="E196" s="5"/>
    </row>
    <row r="197" spans="1:16" x14ac:dyDescent="0.3">
      <c r="D197" s="153"/>
      <c r="E197" s="5"/>
    </row>
    <row r="198" spans="1:16" x14ac:dyDescent="0.3">
      <c r="D198" s="153"/>
    </row>
    <row r="199" spans="1:16" x14ac:dyDescent="0.3">
      <c r="D199" s="153"/>
    </row>
    <row r="200" spans="1:16" x14ac:dyDescent="0.3">
      <c r="D200" s="153"/>
    </row>
    <row r="201" spans="1:16" x14ac:dyDescent="0.3">
      <c r="D201" s="153"/>
    </row>
    <row r="202" spans="1:16" x14ac:dyDescent="0.3">
      <c r="D202" s="153"/>
    </row>
    <row r="203" spans="1:16" x14ac:dyDescent="0.3">
      <c r="D203" s="153"/>
    </row>
    <row r="204" spans="1:16" x14ac:dyDescent="0.3">
      <c r="D204" s="153"/>
    </row>
    <row r="205" spans="1:16" x14ac:dyDescent="0.3">
      <c r="D205" s="153"/>
    </row>
    <row r="206" spans="1:16" x14ac:dyDescent="0.3">
      <c r="D206" s="153"/>
    </row>
    <row r="207" spans="1:16" x14ac:dyDescent="0.3">
      <c r="D207" s="15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c75996-6d52-48da-8128-d6c842256e0b">
      <Terms xmlns="http://schemas.microsoft.com/office/infopath/2007/PartnerControls"/>
    </lcf76f155ced4ddcb4097134ff3c332f>
    <TaxCatchAll xmlns="2579a88a-1bf9-4615-a30b-b23b6eff297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57F76F037A6B40ACC5251BBD608EA4" ma:contentTypeVersion="19" ma:contentTypeDescription="Crie um novo documento." ma:contentTypeScope="" ma:versionID="d7140da6d234c11b19382e7bc69e82e9">
  <xsd:schema xmlns:xsd="http://www.w3.org/2001/XMLSchema" xmlns:xs="http://www.w3.org/2001/XMLSchema" xmlns:p="http://schemas.microsoft.com/office/2006/metadata/properties" xmlns:ns2="78c75996-6d52-48da-8128-d6c842256e0b" xmlns:ns3="2579a88a-1bf9-4615-a30b-b23b6eff2972" targetNamespace="http://schemas.microsoft.com/office/2006/metadata/properties" ma:root="true" ma:fieldsID="0a12431c26dbdc739149bc4284579660" ns2:_="" ns3:_="">
    <xsd:import namespace="78c75996-6d52-48da-8128-d6c842256e0b"/>
    <xsd:import namespace="2579a88a-1bf9-4615-a30b-b23b6eff2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75996-6d52-48da-8128-d6c842256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e3f80924-117c-48cd-98d9-46f32ab8cb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9a88a-1bf9-4615-a30b-b23b6eff297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c82a31-9368-4864-94c4-b779749c8976}" ma:internalName="TaxCatchAll" ma:showField="CatchAllData" ma:web="2579a88a-1bf9-4615-a30b-b23b6eff2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0A579F-12B1-498F-929F-05453BE949CB}">
  <ds:schemaRefs>
    <ds:schemaRef ds:uri="http://schemas.microsoft.com/office/2006/metadata/properties"/>
    <ds:schemaRef ds:uri="http://schemas.microsoft.com/office/infopath/2007/PartnerControls"/>
    <ds:schemaRef ds:uri="78c75996-6d52-48da-8128-d6c842256e0b"/>
    <ds:schemaRef ds:uri="2579a88a-1bf9-4615-a30b-b23b6eff2972"/>
  </ds:schemaRefs>
</ds:datastoreItem>
</file>

<file path=customXml/itemProps2.xml><?xml version="1.0" encoding="utf-8"?>
<ds:datastoreItem xmlns:ds="http://schemas.openxmlformats.org/officeDocument/2006/customXml" ds:itemID="{0E56C531-A0CB-484B-AE59-3F94C8EA8E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2D1D21-E465-4BFA-86BD-270487A55E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c75996-6d52-48da-8128-d6c842256e0b"/>
    <ds:schemaRef ds:uri="2579a88a-1bf9-4615-a30b-b23b6eff2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1d37f9-bc9f-454d-8fba-2b81e319e8ae}" enabled="1" method="Standard" siteId="{0ace4e0a-58c4-47ec-bcb1-d24a3eeefa6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Menu</vt:lpstr>
      <vt:lpstr>Dados Financeiros</vt:lpstr>
      <vt:lpstr>Dados Operacionais</vt:lpstr>
      <vt:lpstr>Lançamentos</vt:lpstr>
    </vt:vector>
  </TitlesOfParts>
  <Company>MTZ0101046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Hamilton Barbosa Miyamoto - Tecnisa</dc:creator>
  <cp:lastModifiedBy>Victor Lima Miranda - Tecnisa</cp:lastModifiedBy>
  <cp:lastPrinted>2017-05-08T17:28:37Z</cp:lastPrinted>
  <dcterms:created xsi:type="dcterms:W3CDTF">2013-11-06T11:07:56Z</dcterms:created>
  <dcterms:modified xsi:type="dcterms:W3CDTF">2026-04-01T17:09:47Z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0x010100E757F76F037A6B40ACC5251BBD608EA4</vt:lpwstr>
  </property>
  <property fmtid="{D5CDD505-2E9C-101B-9397-08002B2CF9AE}" pid="3" name="Order">
    <vt:r8>40100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